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updateLinks="always" codeName="ThisWorkbook" hidePivotFieldList="1"/>
  <bookViews>
    <workbookView xWindow="-108" yWindow="-108" windowWidth="23256" windowHeight="13176" tabRatio="795" activeTab="6"/>
  </bookViews>
  <sheets>
    <sheet name="Dashboard" sheetId="88" r:id="rId1"/>
    <sheet name="DDE Live Data" sheetId="81" r:id="rId2"/>
    <sheet name="Data Feed" sheetId="89" r:id="rId3"/>
    <sheet name="Pip Values" sheetId="90" r:id="rId4"/>
    <sheet name="Margin Requirement" sheetId="93" r:id="rId5"/>
    <sheet name="Pip Calculator" sheetId="91" r:id="rId6"/>
    <sheet name="Market Range" sheetId="94" r:id="rId7"/>
    <sheet name="ADR(30)" sheetId="95" r:id="rId8"/>
    <sheet name="Time" sheetId="96" r:id="rId9"/>
  </sheets>
  <externalReferences>
    <externalReference r:id="rId10"/>
    <externalReference r:id="rId11"/>
    <externalReference r:id="rId12"/>
    <externalReference r:id="rId13"/>
    <externalReference r:id="rId14"/>
    <externalReference r:id="rId15"/>
    <externalReference r:id="rId16"/>
  </externalReferences>
  <definedNames>
    <definedName name="_____MasterList" localSheetId="4">#REF!</definedName>
    <definedName name="_____MasterList" localSheetId="6">#REF!</definedName>
    <definedName name="_____MasterList">#REF!</definedName>
    <definedName name="Analytics" localSheetId="4">#REF!</definedName>
    <definedName name="Analytics" localSheetId="6">#REF!</definedName>
    <definedName name="Analytics">#REF!</definedName>
    <definedName name="Category" localSheetId="0">'[1]Data List'!$Q$2:$Q$10</definedName>
    <definedName name="Category" localSheetId="4">'[1]Data List'!$Q$2:$Q$10</definedName>
    <definedName name="Category" localSheetId="6">'[1]Data List'!$Q$2:$Q$10</definedName>
    <definedName name="Category" localSheetId="3">'[1]Data List'!$Q$2:$Q$10</definedName>
    <definedName name="Category">#REF!</definedName>
    <definedName name="Data" localSheetId="4">#REF!</definedName>
    <definedName name="Data" localSheetId="6">#REF!</definedName>
    <definedName name="Data">#REF!</definedName>
    <definedName name="Indicators" localSheetId="4">#REF!</definedName>
    <definedName name="Indicators" localSheetId="6">#REF!</definedName>
    <definedName name="Indicators">#REF!</definedName>
    <definedName name="Maintenance" localSheetId="4">#REF!</definedName>
    <definedName name="Maintenance" localSheetId="6">#REF!</definedName>
    <definedName name="Maintenance">#REF!</definedName>
    <definedName name="Suite" localSheetId="4">#REF!</definedName>
    <definedName name="Suite" localSheetId="6">#REF!</definedName>
    <definedName name="Suite">#REF!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4" i="89" l="1"/>
  <c r="J5" i="89"/>
  <c r="J6" i="89"/>
  <c r="J7" i="89"/>
  <c r="J8" i="89"/>
  <c r="J9" i="89"/>
  <c r="J10" i="89"/>
  <c r="J11" i="89"/>
  <c r="J12" i="89"/>
  <c r="J13" i="89"/>
  <c r="J14" i="89"/>
  <c r="J15" i="89"/>
  <c r="J16" i="89"/>
  <c r="J17" i="89"/>
  <c r="J18" i="89"/>
  <c r="J19" i="89"/>
  <c r="J20" i="89"/>
  <c r="J21" i="89"/>
  <c r="J22" i="89"/>
  <c r="J23" i="89"/>
  <c r="J24" i="89"/>
  <c r="J25" i="89"/>
  <c r="J26" i="89"/>
  <c r="J27" i="89"/>
  <c r="J28" i="89"/>
  <c r="J29" i="89"/>
  <c r="J30" i="89"/>
  <c r="J3" i="89"/>
  <c r="C4" i="96"/>
  <c r="J3" i="94" l="1"/>
  <c r="J4" i="94"/>
  <c r="J5" i="94"/>
  <c r="J6" i="94"/>
  <c r="J7" i="94"/>
  <c r="J8" i="94"/>
  <c r="J9" i="94"/>
  <c r="J10" i="94"/>
  <c r="J11" i="94"/>
  <c r="J12" i="94"/>
  <c r="J13" i="94"/>
  <c r="J14" i="94"/>
  <c r="J15" i="94"/>
  <c r="J16" i="94"/>
  <c r="J17" i="94"/>
  <c r="J18" i="94"/>
  <c r="J19" i="94"/>
  <c r="J20" i="94"/>
  <c r="J21" i="94"/>
  <c r="J22" i="94"/>
  <c r="J23" i="94"/>
  <c r="J24" i="94"/>
  <c r="J25" i="94"/>
  <c r="J26" i="94"/>
  <c r="J27" i="94"/>
  <c r="J28" i="94"/>
  <c r="J29" i="94"/>
  <c r="J2" i="94"/>
  <c r="H31" i="94"/>
  <c r="G31" i="81" l="1"/>
  <c r="G30" i="81"/>
  <c r="G29" i="81"/>
  <c r="G28" i="81"/>
  <c r="G27" i="81"/>
  <c r="G26" i="81"/>
  <c r="G25" i="81"/>
  <c r="G24" i="81"/>
  <c r="G23" i="81"/>
  <c r="G22" i="81"/>
  <c r="G21" i="81"/>
  <c r="G20" i="81"/>
  <c r="G19" i="81"/>
  <c r="G18" i="81"/>
  <c r="G17" i="81"/>
  <c r="G16" i="81"/>
  <c r="G15" i="81"/>
  <c r="G14" i="81"/>
  <c r="G13" i="81"/>
  <c r="G12" i="81"/>
  <c r="G11" i="81"/>
  <c r="G10" i="81"/>
  <c r="G9" i="81"/>
  <c r="G8" i="81"/>
  <c r="G7" i="81"/>
  <c r="G6" i="81"/>
  <c r="G5" i="81"/>
  <c r="G4" i="81"/>
  <c r="G3" i="81"/>
  <c r="G2" i="81"/>
  <c r="F2" i="81"/>
  <c r="F31" i="81" l="1"/>
  <c r="E31" i="81"/>
  <c r="D31" i="81"/>
  <c r="C31" i="81"/>
  <c r="B31" i="81"/>
  <c r="T3" i="93" l="1"/>
  <c r="T4" i="93"/>
  <c r="T5" i="93"/>
  <c r="T6" i="93"/>
  <c r="T7" i="93"/>
  <c r="T8" i="93"/>
  <c r="T9" i="93"/>
  <c r="T10" i="93"/>
  <c r="T11" i="93"/>
  <c r="T12" i="93"/>
  <c r="T13" i="93"/>
  <c r="T14" i="93"/>
  <c r="T15" i="93"/>
  <c r="T16" i="93"/>
  <c r="T17" i="93"/>
  <c r="T18" i="93"/>
  <c r="T19" i="93"/>
  <c r="T20" i="93"/>
  <c r="T21" i="93"/>
  <c r="T22" i="93"/>
  <c r="T23" i="93"/>
  <c r="T24" i="93"/>
  <c r="T25" i="93"/>
  <c r="T26" i="93"/>
  <c r="T27" i="93"/>
  <c r="T28" i="93"/>
  <c r="T29" i="93"/>
  <c r="T2" i="93"/>
  <c r="U3" i="93" l="1"/>
  <c r="U4" i="93"/>
  <c r="U5" i="93"/>
  <c r="U6" i="93"/>
  <c r="U7" i="93"/>
  <c r="U8" i="93"/>
  <c r="U9" i="93"/>
  <c r="U10" i="93"/>
  <c r="U11" i="93"/>
  <c r="U12" i="93"/>
  <c r="U13" i="93"/>
  <c r="U14" i="93"/>
  <c r="U15" i="93"/>
  <c r="U16" i="93"/>
  <c r="U17" i="93"/>
  <c r="U18" i="93"/>
  <c r="U19" i="93"/>
  <c r="U20" i="93"/>
  <c r="U21" i="93"/>
  <c r="U22" i="93"/>
  <c r="U23" i="93"/>
  <c r="U24" i="93"/>
  <c r="U25" i="93"/>
  <c r="U26" i="93"/>
  <c r="U27" i="93"/>
  <c r="U28" i="93"/>
  <c r="U29" i="93"/>
  <c r="U2" i="93"/>
  <c r="G8" i="93"/>
  <c r="O8" i="93" s="1"/>
  <c r="F8" i="93"/>
  <c r="E8" i="93" s="1"/>
  <c r="S8" i="93" s="1"/>
  <c r="C8" i="93"/>
  <c r="I8" i="93" s="1"/>
  <c r="B8" i="93"/>
  <c r="H8" i="93" s="1"/>
  <c r="G7" i="93"/>
  <c r="O7" i="93" s="1"/>
  <c r="F7" i="93"/>
  <c r="E7" i="93" s="1"/>
  <c r="S7" i="93" s="1"/>
  <c r="C7" i="93"/>
  <c r="I7" i="93" s="1"/>
  <c r="B7" i="93"/>
  <c r="H7" i="93" s="1"/>
  <c r="G6" i="93"/>
  <c r="O6" i="93" s="1"/>
  <c r="F6" i="93"/>
  <c r="E6" i="93" s="1"/>
  <c r="S6" i="93" s="1"/>
  <c r="C6" i="93"/>
  <c r="I6" i="93" s="1"/>
  <c r="B6" i="93"/>
  <c r="H6" i="93" s="1"/>
  <c r="G5" i="93"/>
  <c r="O5" i="93" s="1"/>
  <c r="F5" i="93"/>
  <c r="E5" i="93" s="1"/>
  <c r="S5" i="93" s="1"/>
  <c r="C5" i="93"/>
  <c r="I5" i="93" s="1"/>
  <c r="B5" i="93"/>
  <c r="H5" i="93" s="1"/>
  <c r="N5" i="93" s="1"/>
  <c r="G23" i="93"/>
  <c r="F23" i="93"/>
  <c r="E23" i="93" s="1"/>
  <c r="S23" i="93" s="1"/>
  <c r="C23" i="93"/>
  <c r="I23" i="93" s="1"/>
  <c r="B23" i="93"/>
  <c r="H23" i="93" s="1"/>
  <c r="N23" i="93" s="1"/>
  <c r="G22" i="93"/>
  <c r="F22" i="93"/>
  <c r="E22" i="93" s="1"/>
  <c r="S22" i="93" s="1"/>
  <c r="C22" i="93"/>
  <c r="I22" i="93" s="1"/>
  <c r="B22" i="93"/>
  <c r="H22" i="93" s="1"/>
  <c r="N22" i="93" s="1"/>
  <c r="G21" i="93"/>
  <c r="F21" i="93"/>
  <c r="E21" i="93" s="1"/>
  <c r="S21" i="93" s="1"/>
  <c r="C21" i="93"/>
  <c r="I21" i="93" s="1"/>
  <c r="B21" i="93"/>
  <c r="H21" i="93" s="1"/>
  <c r="N21" i="93" s="1"/>
  <c r="G4" i="93"/>
  <c r="O4" i="93" s="1"/>
  <c r="F4" i="93"/>
  <c r="E4" i="93" s="1"/>
  <c r="S4" i="93" s="1"/>
  <c r="C4" i="93"/>
  <c r="I4" i="93" s="1"/>
  <c r="B4" i="93"/>
  <c r="H4" i="93" s="1"/>
  <c r="N4" i="93" s="1"/>
  <c r="G29" i="93"/>
  <c r="F29" i="93"/>
  <c r="E29" i="93" s="1"/>
  <c r="S29" i="93" s="1"/>
  <c r="C29" i="93"/>
  <c r="I29" i="93" s="1"/>
  <c r="B29" i="93"/>
  <c r="H29" i="93" s="1"/>
  <c r="N29" i="93" s="1"/>
  <c r="G20" i="93"/>
  <c r="F20" i="93"/>
  <c r="E20" i="93" s="1"/>
  <c r="S20" i="93" s="1"/>
  <c r="C20" i="93"/>
  <c r="I20" i="93" s="1"/>
  <c r="B20" i="93"/>
  <c r="H20" i="93" s="1"/>
  <c r="N20" i="93" s="1"/>
  <c r="G19" i="93"/>
  <c r="F19" i="93"/>
  <c r="E19" i="93" s="1"/>
  <c r="S19" i="93" s="1"/>
  <c r="C19" i="93"/>
  <c r="I19" i="93" s="1"/>
  <c r="B19" i="93"/>
  <c r="H19" i="93" s="1"/>
  <c r="N19" i="93" s="1"/>
  <c r="G18" i="93"/>
  <c r="F18" i="93"/>
  <c r="E18" i="93" s="1"/>
  <c r="S18" i="93" s="1"/>
  <c r="C18" i="93"/>
  <c r="I18" i="93" s="1"/>
  <c r="B18" i="93"/>
  <c r="H18" i="93" s="1"/>
  <c r="N18" i="93" s="1"/>
  <c r="G28" i="93"/>
  <c r="F28" i="93"/>
  <c r="E28" i="93" s="1"/>
  <c r="S28" i="93" s="1"/>
  <c r="C28" i="93"/>
  <c r="I28" i="93" s="1"/>
  <c r="B28" i="93"/>
  <c r="H28" i="93" s="1"/>
  <c r="N28" i="93" s="1"/>
  <c r="G3" i="93"/>
  <c r="O3" i="93" s="1"/>
  <c r="F3" i="93"/>
  <c r="E3" i="93" s="1"/>
  <c r="S3" i="93" s="1"/>
  <c r="C3" i="93"/>
  <c r="I3" i="93" s="1"/>
  <c r="B3" i="93"/>
  <c r="H3" i="93" s="1"/>
  <c r="N3" i="93" s="1"/>
  <c r="G27" i="93"/>
  <c r="F27" i="93"/>
  <c r="E27" i="93" s="1"/>
  <c r="S27" i="93" s="1"/>
  <c r="C27" i="93"/>
  <c r="I27" i="93" s="1"/>
  <c r="B27" i="93"/>
  <c r="H27" i="93" s="1"/>
  <c r="N27" i="93" s="1"/>
  <c r="G17" i="93"/>
  <c r="F17" i="93"/>
  <c r="E17" i="93" s="1"/>
  <c r="S17" i="93" s="1"/>
  <c r="C17" i="93"/>
  <c r="I17" i="93" s="1"/>
  <c r="B17" i="93"/>
  <c r="H17" i="93" s="1"/>
  <c r="N17" i="93" s="1"/>
  <c r="G26" i="93"/>
  <c r="F26" i="93"/>
  <c r="E26" i="93" s="1"/>
  <c r="S26" i="93" s="1"/>
  <c r="C26" i="93"/>
  <c r="I26" i="93" s="1"/>
  <c r="B26" i="93"/>
  <c r="H26" i="93" s="1"/>
  <c r="N26" i="93" s="1"/>
  <c r="G16" i="93"/>
  <c r="F16" i="93"/>
  <c r="E16" i="93" s="1"/>
  <c r="S16" i="93" s="1"/>
  <c r="C16" i="93"/>
  <c r="I16" i="93" s="1"/>
  <c r="B16" i="93"/>
  <c r="H16" i="93" s="1"/>
  <c r="N16" i="93" s="1"/>
  <c r="G15" i="93"/>
  <c r="F15" i="93"/>
  <c r="E15" i="93" s="1"/>
  <c r="S15" i="93" s="1"/>
  <c r="C15" i="93"/>
  <c r="I15" i="93" s="1"/>
  <c r="B15" i="93"/>
  <c r="H15" i="93" s="1"/>
  <c r="N15" i="93" s="1"/>
  <c r="G25" i="93"/>
  <c r="F25" i="93"/>
  <c r="E25" i="93" s="1"/>
  <c r="S25" i="93" s="1"/>
  <c r="C25" i="93"/>
  <c r="I25" i="93" s="1"/>
  <c r="B25" i="93"/>
  <c r="H25" i="93" s="1"/>
  <c r="N25" i="93" s="1"/>
  <c r="G14" i="93"/>
  <c r="F14" i="93"/>
  <c r="E14" i="93" s="1"/>
  <c r="S14" i="93" s="1"/>
  <c r="C14" i="93"/>
  <c r="I14" i="93" s="1"/>
  <c r="B14" i="93"/>
  <c r="H14" i="93" s="1"/>
  <c r="N14" i="93" s="1"/>
  <c r="G13" i="93"/>
  <c r="F13" i="93"/>
  <c r="E13" i="93" s="1"/>
  <c r="S13" i="93" s="1"/>
  <c r="C13" i="93"/>
  <c r="I13" i="93" s="1"/>
  <c r="B13" i="93"/>
  <c r="H13" i="93" s="1"/>
  <c r="N13" i="93" s="1"/>
  <c r="G12" i="93"/>
  <c r="F12" i="93"/>
  <c r="E12" i="93" s="1"/>
  <c r="S12" i="93" s="1"/>
  <c r="C12" i="93"/>
  <c r="I12" i="93" s="1"/>
  <c r="B12" i="93"/>
  <c r="H12" i="93" s="1"/>
  <c r="N12" i="93" s="1"/>
  <c r="G2" i="93"/>
  <c r="O2" i="93" s="1"/>
  <c r="F2" i="93"/>
  <c r="E2" i="93" s="1"/>
  <c r="S2" i="93" s="1"/>
  <c r="C2" i="93"/>
  <c r="I2" i="93" s="1"/>
  <c r="B2" i="93"/>
  <c r="H2" i="93" s="1"/>
  <c r="N2" i="93" s="1"/>
  <c r="G24" i="93"/>
  <c r="F24" i="93"/>
  <c r="E24" i="93" s="1"/>
  <c r="S24" i="93" s="1"/>
  <c r="C24" i="93"/>
  <c r="I24" i="93" s="1"/>
  <c r="M24" i="93" s="1"/>
  <c r="B24" i="93"/>
  <c r="H24" i="93" s="1"/>
  <c r="G11" i="93"/>
  <c r="F11" i="93"/>
  <c r="E11" i="93" s="1"/>
  <c r="S11" i="93" s="1"/>
  <c r="C11" i="93"/>
  <c r="I11" i="93" s="1"/>
  <c r="M11" i="93" s="1"/>
  <c r="B11" i="93"/>
  <c r="H11" i="93" s="1"/>
  <c r="N11" i="93" s="1"/>
  <c r="G10" i="93"/>
  <c r="F10" i="93"/>
  <c r="E10" i="93" s="1"/>
  <c r="S10" i="93" s="1"/>
  <c r="C10" i="93"/>
  <c r="I10" i="93" s="1"/>
  <c r="M10" i="93" s="1"/>
  <c r="B10" i="93"/>
  <c r="H10" i="93" s="1"/>
  <c r="G9" i="93"/>
  <c r="F9" i="93"/>
  <c r="E9" i="93" s="1"/>
  <c r="S9" i="93" s="1"/>
  <c r="C9" i="93"/>
  <c r="I9" i="93" s="1"/>
  <c r="B9" i="93"/>
  <c r="H9" i="93" s="1"/>
  <c r="N9" i="93" s="1"/>
  <c r="O24" i="93" l="1"/>
  <c r="O12" i="93"/>
  <c r="O10" i="93"/>
  <c r="Q10" i="93" s="1"/>
  <c r="O13" i="93"/>
  <c r="Q13" i="93" s="1"/>
  <c r="O11" i="93"/>
  <c r="Q11" i="93" s="1"/>
  <c r="N24" i="93"/>
  <c r="Q24" i="93"/>
  <c r="M9" i="93"/>
  <c r="N10" i="93"/>
  <c r="O14" i="93"/>
  <c r="O15" i="93"/>
  <c r="O26" i="93"/>
  <c r="O27" i="93"/>
  <c r="O28" i="93"/>
  <c r="O29" i="93"/>
  <c r="M6" i="93"/>
  <c r="Q6" i="93"/>
  <c r="R6" i="93" s="1"/>
  <c r="P6" i="93"/>
  <c r="L2" i="93"/>
  <c r="G6" i="94" s="1"/>
  <c r="M2" i="93"/>
  <c r="Q2" i="93"/>
  <c r="R2" i="93" s="1"/>
  <c r="P2" i="93"/>
  <c r="M14" i="93"/>
  <c r="M26" i="93"/>
  <c r="M28" i="93"/>
  <c r="M29" i="93"/>
  <c r="M23" i="93"/>
  <c r="Q12" i="93"/>
  <c r="M15" i="93"/>
  <c r="M27" i="93"/>
  <c r="M19" i="93"/>
  <c r="O19" i="93"/>
  <c r="M21" i="93"/>
  <c r="O21" i="93"/>
  <c r="O23" i="93"/>
  <c r="M13" i="93"/>
  <c r="O9" i="93"/>
  <c r="M12" i="93"/>
  <c r="M25" i="93"/>
  <c r="O25" i="93"/>
  <c r="M16" i="93"/>
  <c r="O16" i="93"/>
  <c r="M17" i="93"/>
  <c r="O17" i="93"/>
  <c r="M3" i="93"/>
  <c r="L3" i="93"/>
  <c r="G2" i="94" s="1"/>
  <c r="Q3" i="93"/>
  <c r="R3" i="93" s="1"/>
  <c r="P3" i="93"/>
  <c r="M18" i="93"/>
  <c r="O18" i="93"/>
  <c r="M20" i="93"/>
  <c r="O20" i="93"/>
  <c r="M4" i="93"/>
  <c r="L4" i="93"/>
  <c r="G4" i="94" s="1"/>
  <c r="Q4" i="93"/>
  <c r="R4" i="93" s="1"/>
  <c r="P4" i="93"/>
  <c r="M22" i="93"/>
  <c r="O22" i="93"/>
  <c r="M5" i="93"/>
  <c r="L5" i="93"/>
  <c r="G8" i="94" s="1"/>
  <c r="Q5" i="93"/>
  <c r="R5" i="93" s="1"/>
  <c r="P5" i="93"/>
  <c r="M7" i="93"/>
  <c r="Q7" i="93"/>
  <c r="R7" i="93" s="1"/>
  <c r="P7" i="93"/>
  <c r="Q8" i="93"/>
  <c r="R8" i="93" s="1"/>
  <c r="P8" i="93"/>
  <c r="M8" i="93"/>
  <c r="F30" i="81"/>
  <c r="E30" i="81"/>
  <c r="D30" i="81"/>
  <c r="C30" i="81"/>
  <c r="B30" i="81"/>
  <c r="Q15" i="93" l="1"/>
  <c r="Q28" i="93"/>
  <c r="Q14" i="93"/>
  <c r="Q17" i="93"/>
  <c r="Q18" i="93"/>
  <c r="Q20" i="93"/>
  <c r="Q25" i="93"/>
  <c r="Q27" i="93"/>
  <c r="Q21" i="93"/>
  <c r="Q29" i="93"/>
  <c r="Q22" i="93"/>
  <c r="Q16" i="93"/>
  <c r="Q9" i="93"/>
  <c r="Q23" i="93"/>
  <c r="Q19" i="93"/>
  <c r="Q26" i="93"/>
  <c r="E12" i="91" l="1"/>
  <c r="G12" i="91" s="1"/>
  <c r="G15" i="91" s="1"/>
  <c r="E9" i="91"/>
  <c r="E15" i="91" l="1"/>
  <c r="F12" i="91"/>
  <c r="F15" i="91" s="1"/>
  <c r="E18" i="91" l="1"/>
  <c r="F18" i="91" s="1"/>
  <c r="G9" i="91" l="1"/>
  <c r="H9" i="91" s="1"/>
  <c r="G29" i="90" l="1"/>
  <c r="O29" i="90" s="1"/>
  <c r="F29" i="90"/>
  <c r="E29" i="90" s="1"/>
  <c r="C29" i="90"/>
  <c r="I29" i="90" s="1"/>
  <c r="M29" i="90" s="1"/>
  <c r="B29" i="90"/>
  <c r="H29" i="90" s="1"/>
  <c r="G28" i="90"/>
  <c r="O28" i="90" s="1"/>
  <c r="F28" i="90"/>
  <c r="E28" i="90"/>
  <c r="C28" i="90"/>
  <c r="I28" i="90" s="1"/>
  <c r="M28" i="90" s="1"/>
  <c r="B28" i="90"/>
  <c r="H28" i="90" s="1"/>
  <c r="G27" i="90"/>
  <c r="O27" i="90" s="1"/>
  <c r="F27" i="90"/>
  <c r="E27" i="90" s="1"/>
  <c r="C27" i="90"/>
  <c r="I27" i="90" s="1"/>
  <c r="M27" i="90" s="1"/>
  <c r="B27" i="90"/>
  <c r="H27" i="90" s="1"/>
  <c r="G26" i="90"/>
  <c r="O26" i="90" s="1"/>
  <c r="F26" i="90"/>
  <c r="E26" i="90" s="1"/>
  <c r="C26" i="90"/>
  <c r="I26" i="90" s="1"/>
  <c r="M26" i="90" s="1"/>
  <c r="B26" i="90"/>
  <c r="H26" i="90" s="1"/>
  <c r="N26" i="90" s="1"/>
  <c r="G25" i="90"/>
  <c r="F25" i="90"/>
  <c r="E25" i="90" s="1"/>
  <c r="C25" i="90"/>
  <c r="I25" i="90" s="1"/>
  <c r="M25" i="90" s="1"/>
  <c r="B25" i="90"/>
  <c r="H25" i="90" s="1"/>
  <c r="N25" i="90" s="1"/>
  <c r="G24" i="90"/>
  <c r="F24" i="90"/>
  <c r="E24" i="90" s="1"/>
  <c r="C24" i="90"/>
  <c r="I24" i="90" s="1"/>
  <c r="M24" i="90" s="1"/>
  <c r="B24" i="90"/>
  <c r="H24" i="90" s="1"/>
  <c r="N24" i="90" s="1"/>
  <c r="G23" i="90"/>
  <c r="F23" i="90"/>
  <c r="E23" i="90" s="1"/>
  <c r="C23" i="90"/>
  <c r="I23" i="90" s="1"/>
  <c r="M23" i="90" s="1"/>
  <c r="B23" i="90"/>
  <c r="H23" i="90" s="1"/>
  <c r="N23" i="90" s="1"/>
  <c r="G22" i="90"/>
  <c r="O22" i="90" s="1"/>
  <c r="F22" i="90"/>
  <c r="E22" i="90" s="1"/>
  <c r="C22" i="90"/>
  <c r="I22" i="90" s="1"/>
  <c r="M22" i="90" s="1"/>
  <c r="B22" i="90"/>
  <c r="H22" i="90" s="1"/>
  <c r="N22" i="90" s="1"/>
  <c r="G21" i="90"/>
  <c r="F21" i="90"/>
  <c r="E21" i="90" s="1"/>
  <c r="C21" i="90"/>
  <c r="I21" i="90" s="1"/>
  <c r="M21" i="90" s="1"/>
  <c r="B21" i="90"/>
  <c r="H21" i="90" s="1"/>
  <c r="N21" i="90" s="1"/>
  <c r="G20" i="90"/>
  <c r="F20" i="90"/>
  <c r="E20" i="90"/>
  <c r="C20" i="90"/>
  <c r="I20" i="90" s="1"/>
  <c r="M20" i="90" s="1"/>
  <c r="B20" i="90"/>
  <c r="H20" i="90" s="1"/>
  <c r="N20" i="90" s="1"/>
  <c r="G19" i="90"/>
  <c r="F19" i="90"/>
  <c r="E19" i="90" s="1"/>
  <c r="C19" i="90"/>
  <c r="I19" i="90" s="1"/>
  <c r="M19" i="90" s="1"/>
  <c r="B19" i="90"/>
  <c r="H19" i="90" s="1"/>
  <c r="N19" i="90" s="1"/>
  <c r="G18" i="90"/>
  <c r="O18" i="90" s="1"/>
  <c r="Q18" i="90" s="1"/>
  <c r="F18" i="90"/>
  <c r="E18" i="90" s="1"/>
  <c r="C18" i="90"/>
  <c r="I18" i="90" s="1"/>
  <c r="M18" i="90" s="1"/>
  <c r="B18" i="90"/>
  <c r="H18" i="90" s="1"/>
  <c r="N18" i="90" s="1"/>
  <c r="G17" i="90"/>
  <c r="O17" i="90" s="1"/>
  <c r="Q17" i="90" s="1"/>
  <c r="F17" i="90"/>
  <c r="E17" i="90" s="1"/>
  <c r="C17" i="90"/>
  <c r="I17" i="90" s="1"/>
  <c r="M17" i="90" s="1"/>
  <c r="B17" i="90"/>
  <c r="H17" i="90" s="1"/>
  <c r="N17" i="90" s="1"/>
  <c r="G16" i="90"/>
  <c r="O16" i="90" s="1"/>
  <c r="F16" i="90"/>
  <c r="E16" i="90" s="1"/>
  <c r="C16" i="90"/>
  <c r="I16" i="90" s="1"/>
  <c r="M16" i="90" s="1"/>
  <c r="B16" i="90"/>
  <c r="H16" i="90" s="1"/>
  <c r="N16" i="90" s="1"/>
  <c r="G15" i="90"/>
  <c r="O15" i="90" s="1"/>
  <c r="Q15" i="90" s="1"/>
  <c r="F15" i="90"/>
  <c r="E15" i="90" s="1"/>
  <c r="C15" i="90"/>
  <c r="I15" i="90" s="1"/>
  <c r="M15" i="90" s="1"/>
  <c r="B15" i="90"/>
  <c r="H15" i="90" s="1"/>
  <c r="N15" i="90" s="1"/>
  <c r="G14" i="90"/>
  <c r="O14" i="90" s="1"/>
  <c r="Q14" i="90" s="1"/>
  <c r="F14" i="90"/>
  <c r="E14" i="90" s="1"/>
  <c r="C14" i="90"/>
  <c r="I14" i="90" s="1"/>
  <c r="M14" i="90" s="1"/>
  <c r="B14" i="90"/>
  <c r="H14" i="90" s="1"/>
  <c r="N14" i="90" s="1"/>
  <c r="G13" i="90"/>
  <c r="O13" i="90" s="1"/>
  <c r="Q13" i="90" s="1"/>
  <c r="F13" i="90"/>
  <c r="E13" i="90" s="1"/>
  <c r="C13" i="90"/>
  <c r="I13" i="90" s="1"/>
  <c r="M13" i="90" s="1"/>
  <c r="B13" i="90"/>
  <c r="H13" i="90" s="1"/>
  <c r="N13" i="90" s="1"/>
  <c r="G12" i="90"/>
  <c r="O12" i="90" s="1"/>
  <c r="Q12" i="90" s="1"/>
  <c r="F12" i="90"/>
  <c r="E12" i="90" s="1"/>
  <c r="C12" i="90"/>
  <c r="I12" i="90" s="1"/>
  <c r="M12" i="90" s="1"/>
  <c r="B12" i="90"/>
  <c r="H12" i="90" s="1"/>
  <c r="N12" i="90" s="1"/>
  <c r="G11" i="90"/>
  <c r="O11" i="90" s="1"/>
  <c r="Q11" i="90" s="1"/>
  <c r="F11" i="90"/>
  <c r="E11" i="90" s="1"/>
  <c r="C11" i="90"/>
  <c r="I11" i="90" s="1"/>
  <c r="M11" i="90" s="1"/>
  <c r="B11" i="90"/>
  <c r="H11" i="90" s="1"/>
  <c r="N11" i="90" s="1"/>
  <c r="G10" i="90"/>
  <c r="O10" i="90" s="1"/>
  <c r="Q10" i="90" s="1"/>
  <c r="F10" i="90"/>
  <c r="E10" i="90" s="1"/>
  <c r="C10" i="90"/>
  <c r="I10" i="90" s="1"/>
  <c r="M10" i="90" s="1"/>
  <c r="B10" i="90"/>
  <c r="H10" i="90" s="1"/>
  <c r="N10" i="90" s="1"/>
  <c r="G9" i="90"/>
  <c r="O9" i="90" s="1"/>
  <c r="Q9" i="90" s="1"/>
  <c r="F9" i="90"/>
  <c r="E9" i="90" s="1"/>
  <c r="C9" i="90"/>
  <c r="I9" i="90" s="1"/>
  <c r="M9" i="90" s="1"/>
  <c r="B9" i="90"/>
  <c r="H9" i="90" s="1"/>
  <c r="N9" i="90" s="1"/>
  <c r="G8" i="90"/>
  <c r="O8" i="90" s="1"/>
  <c r="Q8" i="90" s="1"/>
  <c r="F8" i="90"/>
  <c r="E8" i="90" s="1"/>
  <c r="C8" i="90"/>
  <c r="I8" i="90" s="1"/>
  <c r="M8" i="90" s="1"/>
  <c r="B8" i="90"/>
  <c r="H8" i="90" s="1"/>
  <c r="N8" i="90" s="1"/>
  <c r="G7" i="90"/>
  <c r="O7" i="90" s="1"/>
  <c r="Q7" i="90" s="1"/>
  <c r="F7" i="90"/>
  <c r="E7" i="90"/>
  <c r="C7" i="90"/>
  <c r="I7" i="90" s="1"/>
  <c r="M7" i="90" s="1"/>
  <c r="B7" i="90"/>
  <c r="H7" i="90" s="1"/>
  <c r="N7" i="90" s="1"/>
  <c r="G6" i="90"/>
  <c r="O6" i="90" s="1"/>
  <c r="F6" i="90"/>
  <c r="E6" i="90" s="1"/>
  <c r="C6" i="90"/>
  <c r="I6" i="90" s="1"/>
  <c r="M6" i="90" s="1"/>
  <c r="B6" i="90"/>
  <c r="H6" i="90" s="1"/>
  <c r="N6" i="90" s="1"/>
  <c r="G5" i="90"/>
  <c r="F5" i="90"/>
  <c r="E5" i="90" s="1"/>
  <c r="C5" i="90"/>
  <c r="I5" i="90" s="1"/>
  <c r="M5" i="90" s="1"/>
  <c r="B5" i="90"/>
  <c r="H5" i="90" s="1"/>
  <c r="N5" i="90" s="1"/>
  <c r="G4" i="90"/>
  <c r="F4" i="90"/>
  <c r="E4" i="90" s="1"/>
  <c r="C4" i="90"/>
  <c r="I4" i="90" s="1"/>
  <c r="M4" i="90" s="1"/>
  <c r="B4" i="90"/>
  <c r="H4" i="90" s="1"/>
  <c r="N4" i="90" s="1"/>
  <c r="G3" i="90"/>
  <c r="F3" i="90"/>
  <c r="E3" i="90" s="1"/>
  <c r="C3" i="90"/>
  <c r="I3" i="90" s="1"/>
  <c r="M3" i="90" s="1"/>
  <c r="B3" i="90"/>
  <c r="H3" i="90" s="1"/>
  <c r="N3" i="90" s="1"/>
  <c r="G2" i="90"/>
  <c r="F2" i="90"/>
  <c r="E2" i="90" s="1"/>
  <c r="C2" i="90"/>
  <c r="I2" i="90" s="1"/>
  <c r="M2" i="90" s="1"/>
  <c r="B2" i="90"/>
  <c r="H2" i="90" s="1"/>
  <c r="N2" i="90" s="1"/>
  <c r="Q16" i="90" l="1"/>
  <c r="R16" i="90" s="1"/>
  <c r="P16" i="90"/>
  <c r="O19" i="90"/>
  <c r="Q19" i="90" s="1"/>
  <c r="O20" i="90"/>
  <c r="Q20" i="90" s="1"/>
  <c r="O21" i="90"/>
  <c r="Q21" i="90" s="1"/>
  <c r="Q22" i="90"/>
  <c r="R22" i="90" s="1"/>
  <c r="P22" i="90"/>
  <c r="O23" i="90"/>
  <c r="Q23" i="90" s="1"/>
  <c r="O24" i="90"/>
  <c r="Q24" i="90" s="1"/>
  <c r="O25" i="90"/>
  <c r="Q25" i="90" s="1"/>
  <c r="Q26" i="90"/>
  <c r="R26" i="90" s="1"/>
  <c r="P26" i="90"/>
  <c r="P27" i="90"/>
  <c r="Q27" i="90"/>
  <c r="R27" i="90" s="1"/>
  <c r="O2" i="90"/>
  <c r="Q2" i="90" s="1"/>
  <c r="O3" i="90"/>
  <c r="Q3" i="90" s="1"/>
  <c r="O4" i="90"/>
  <c r="Q4" i="90" s="1"/>
  <c r="O5" i="90"/>
  <c r="Q5" i="90" s="1"/>
  <c r="P6" i="90"/>
  <c r="Q6" i="90"/>
  <c r="R6" i="90" s="1"/>
  <c r="Q28" i="90"/>
  <c r="R28" i="90" s="1"/>
  <c r="P28" i="90"/>
  <c r="P29" i="90"/>
  <c r="Q29" i="90"/>
  <c r="R29" i="90" s="1"/>
  <c r="L6" i="90"/>
  <c r="L22" i="90"/>
  <c r="L16" i="90"/>
  <c r="L26" i="90"/>
  <c r="F29" i="81"/>
  <c r="I30" i="89" s="1"/>
  <c r="F28" i="81"/>
  <c r="I29" i="89" s="1"/>
  <c r="F27" i="81"/>
  <c r="I28" i="89" s="1"/>
  <c r="F26" i="81"/>
  <c r="I27" i="89" s="1"/>
  <c r="F25" i="81"/>
  <c r="I26" i="89" s="1"/>
  <c r="F24" i="81"/>
  <c r="I25" i="89" s="1"/>
  <c r="F23" i="81"/>
  <c r="I24" i="89" s="1"/>
  <c r="F22" i="81"/>
  <c r="I23" i="89" s="1"/>
  <c r="F21" i="81"/>
  <c r="I22" i="89" s="1"/>
  <c r="F20" i="81"/>
  <c r="I21" i="89" s="1"/>
  <c r="F19" i="81"/>
  <c r="I20" i="89" s="1"/>
  <c r="F18" i="81"/>
  <c r="I19" i="89" s="1"/>
  <c r="F17" i="81"/>
  <c r="I18" i="89" s="1"/>
  <c r="F16" i="81"/>
  <c r="I17" i="89" s="1"/>
  <c r="F15" i="81"/>
  <c r="I16" i="89" s="1"/>
  <c r="F14" i="81"/>
  <c r="I15" i="89" s="1"/>
  <c r="F13" i="81"/>
  <c r="I14" i="89" s="1"/>
  <c r="F12" i="81"/>
  <c r="I13" i="89" s="1"/>
  <c r="F11" i="81"/>
  <c r="I12" i="89" s="1"/>
  <c r="F10" i="81"/>
  <c r="I11" i="89" s="1"/>
  <c r="F9" i="81"/>
  <c r="I10" i="89" s="1"/>
  <c r="F8" i="81"/>
  <c r="I9" i="89" s="1"/>
  <c r="F7" i="81"/>
  <c r="I8" i="89" s="1"/>
  <c r="F6" i="81"/>
  <c r="I7" i="89" s="1"/>
  <c r="F5" i="81"/>
  <c r="I6" i="89" s="1"/>
  <c r="F4" i="81"/>
  <c r="I5" i="89" s="1"/>
  <c r="F3" i="81"/>
  <c r="I4" i="89" s="1"/>
  <c r="I3" i="89"/>
  <c r="E29" i="81"/>
  <c r="H30" i="89" s="1"/>
  <c r="E28" i="81"/>
  <c r="H29" i="89" s="1"/>
  <c r="E27" i="81"/>
  <c r="H28" i="89" s="1"/>
  <c r="E26" i="81"/>
  <c r="H27" i="89" s="1"/>
  <c r="E25" i="81"/>
  <c r="H26" i="89" s="1"/>
  <c r="E24" i="81"/>
  <c r="H25" i="89" s="1"/>
  <c r="E23" i="81"/>
  <c r="H24" i="89" s="1"/>
  <c r="E22" i="81"/>
  <c r="H23" i="89" s="1"/>
  <c r="E21" i="81"/>
  <c r="H22" i="89" s="1"/>
  <c r="E20" i="81"/>
  <c r="H21" i="89" s="1"/>
  <c r="E19" i="81"/>
  <c r="H20" i="89" s="1"/>
  <c r="E18" i="81"/>
  <c r="H19" i="89" s="1"/>
  <c r="E17" i="81"/>
  <c r="H18" i="89" s="1"/>
  <c r="E16" i="81"/>
  <c r="H17" i="89" s="1"/>
  <c r="E15" i="81"/>
  <c r="H16" i="89" s="1"/>
  <c r="E14" i="81"/>
  <c r="H15" i="89" s="1"/>
  <c r="E13" i="81"/>
  <c r="H14" i="89" s="1"/>
  <c r="E12" i="81"/>
  <c r="H13" i="89" s="1"/>
  <c r="E11" i="81"/>
  <c r="H12" i="89" s="1"/>
  <c r="E10" i="81"/>
  <c r="H11" i="89" s="1"/>
  <c r="E9" i="81"/>
  <c r="H10" i="89" s="1"/>
  <c r="E8" i="81"/>
  <c r="H9" i="89" s="1"/>
  <c r="E7" i="81"/>
  <c r="H8" i="89" s="1"/>
  <c r="E6" i="81"/>
  <c r="H7" i="89" s="1"/>
  <c r="E5" i="81"/>
  <c r="H6" i="89" s="1"/>
  <c r="E4" i="81"/>
  <c r="H5" i="89" s="1"/>
  <c r="E3" i="81"/>
  <c r="H4" i="89" s="1"/>
  <c r="E2" i="81"/>
  <c r="H3" i="89" s="1"/>
  <c r="C2" i="94" l="1"/>
  <c r="D2" i="94"/>
  <c r="S26" i="88"/>
  <c r="D24" i="94"/>
  <c r="S8" i="88"/>
  <c r="D6" i="94"/>
  <c r="S12" i="88"/>
  <c r="D10" i="94"/>
  <c r="S20" i="88"/>
  <c r="D18" i="94"/>
  <c r="S17" i="88"/>
  <c r="D15" i="94"/>
  <c r="S6" i="88"/>
  <c r="D4" i="94"/>
  <c r="S10" i="88"/>
  <c r="D8" i="94"/>
  <c r="S27" i="88"/>
  <c r="D25" i="94"/>
  <c r="S31" i="88"/>
  <c r="D29" i="94"/>
  <c r="S13" i="88"/>
  <c r="D11" i="94"/>
  <c r="S15" i="88"/>
  <c r="D13" i="94"/>
  <c r="S18" i="88"/>
  <c r="D16" i="94"/>
  <c r="S29" i="88"/>
  <c r="D27" i="94"/>
  <c r="S9" i="88"/>
  <c r="D7" i="94"/>
  <c r="S22" i="88"/>
  <c r="D20" i="94"/>
  <c r="S24" i="88"/>
  <c r="D22" i="94"/>
  <c r="S14" i="88"/>
  <c r="D12" i="94"/>
  <c r="S21" i="88"/>
  <c r="D19" i="94"/>
  <c r="S30" i="88"/>
  <c r="D28" i="94"/>
  <c r="S5" i="88"/>
  <c r="D3" i="94"/>
  <c r="S28" i="88"/>
  <c r="D26" i="94"/>
  <c r="S25" i="88"/>
  <c r="D23" i="94"/>
  <c r="S11" i="88"/>
  <c r="D9" i="94"/>
  <c r="S16" i="88"/>
  <c r="D14" i="94"/>
  <c r="S19" i="88"/>
  <c r="D17" i="94"/>
  <c r="S23" i="88"/>
  <c r="D21" i="94"/>
  <c r="S7" i="88"/>
  <c r="D5" i="94"/>
  <c r="K22" i="88"/>
  <c r="C20" i="94"/>
  <c r="K26" i="88"/>
  <c r="C24" i="94"/>
  <c r="K8" i="88"/>
  <c r="C6" i="94"/>
  <c r="K12" i="88"/>
  <c r="C10" i="94"/>
  <c r="K20" i="88"/>
  <c r="C18" i="94"/>
  <c r="K17" i="88"/>
  <c r="C15" i="94"/>
  <c r="K6" i="88"/>
  <c r="C4" i="94"/>
  <c r="K10" i="88"/>
  <c r="C8" i="94"/>
  <c r="K27" i="88"/>
  <c r="C25" i="94"/>
  <c r="K31" i="88"/>
  <c r="C29" i="94"/>
  <c r="K13" i="88"/>
  <c r="C11" i="94"/>
  <c r="K15" i="88"/>
  <c r="C13" i="94"/>
  <c r="K18" i="88"/>
  <c r="C16" i="94"/>
  <c r="K29" i="88"/>
  <c r="C27" i="94"/>
  <c r="K9" i="88"/>
  <c r="C7" i="94"/>
  <c r="K24" i="88"/>
  <c r="C22" i="94"/>
  <c r="K14" i="88"/>
  <c r="C12" i="94"/>
  <c r="K21" i="88"/>
  <c r="C19" i="94"/>
  <c r="K30" i="88"/>
  <c r="C28" i="94"/>
  <c r="K5" i="88"/>
  <c r="C3" i="94"/>
  <c r="K28" i="88"/>
  <c r="C26" i="94"/>
  <c r="K25" i="88"/>
  <c r="C23" i="94"/>
  <c r="K11" i="88"/>
  <c r="C9" i="94"/>
  <c r="K16" i="88"/>
  <c r="C14" i="94"/>
  <c r="K19" i="88"/>
  <c r="C17" i="94"/>
  <c r="K23" i="88"/>
  <c r="C21" i="94"/>
  <c r="K7" i="88"/>
  <c r="C5" i="94"/>
  <c r="K4" i="88"/>
  <c r="H4" i="91"/>
  <c r="S4" i="88"/>
  <c r="H3" i="91"/>
  <c r="E2" i="94" l="1"/>
  <c r="F2" i="94" s="1"/>
  <c r="O27" i="88"/>
  <c r="O15" i="88"/>
  <c r="O12" i="88" l="1"/>
  <c r="O17" i="88"/>
  <c r="O19" i="88"/>
  <c r="O13" i="88"/>
  <c r="O26" i="88"/>
  <c r="O20" i="88"/>
  <c r="O24" i="88"/>
  <c r="O23" i="88"/>
  <c r="O4" i="88"/>
  <c r="O29" i="88"/>
  <c r="O18" i="88"/>
  <c r="O9" i="88"/>
  <c r="O6" i="88"/>
  <c r="O7" i="88"/>
  <c r="O5" i="88"/>
  <c r="O16" i="88"/>
  <c r="O11" i="88"/>
  <c r="O25" i="88"/>
  <c r="O21" i="88"/>
  <c r="O10" i="88"/>
  <c r="O30" i="88"/>
  <c r="O28" i="88"/>
  <c r="O14" i="88"/>
  <c r="O22" i="88"/>
  <c r="O8" i="88"/>
  <c r="O31" i="88"/>
  <c r="E18" i="94"/>
  <c r="E12" i="94"/>
  <c r="E7" i="94"/>
  <c r="E10" i="94"/>
  <c r="E14" i="94"/>
  <c r="E20" i="94"/>
  <c r="K2" i="94"/>
  <c r="L2" i="94" s="1"/>
  <c r="E15" i="94"/>
  <c r="E24" i="94"/>
  <c r="E19" i="94"/>
  <c r="E29" i="94"/>
  <c r="E27" i="94"/>
  <c r="E26" i="94"/>
  <c r="E16" i="94"/>
  <c r="E6" i="94"/>
  <c r="E11" i="94"/>
  <c r="E13" i="94"/>
  <c r="E17" i="94"/>
  <c r="E8" i="94"/>
  <c r="E28" i="94"/>
  <c r="E9" i="94"/>
  <c r="E5" i="94"/>
  <c r="E4" i="94"/>
  <c r="E21" i="94"/>
  <c r="E23" i="94"/>
  <c r="E3" i="94"/>
  <c r="E25" i="94"/>
  <c r="E22" i="94"/>
  <c r="D29" i="81"/>
  <c r="C29" i="81"/>
  <c r="B29" i="81"/>
  <c r="D28" i="81"/>
  <c r="C28" i="81"/>
  <c r="B28" i="81"/>
  <c r="D27" i="81"/>
  <c r="C27" i="81"/>
  <c r="B27" i="81"/>
  <c r="D26" i="81"/>
  <c r="C26" i="81"/>
  <c r="B26" i="81"/>
  <c r="D25" i="81"/>
  <c r="C25" i="81"/>
  <c r="B25" i="81"/>
  <c r="D24" i="81"/>
  <c r="C24" i="81"/>
  <c r="B24" i="81"/>
  <c r="D23" i="81"/>
  <c r="C23" i="81"/>
  <c r="B23" i="81"/>
  <c r="D22" i="81"/>
  <c r="C22" i="81"/>
  <c r="B22" i="81"/>
  <c r="D21" i="81"/>
  <c r="C21" i="81"/>
  <c r="B21" i="81"/>
  <c r="D20" i="81"/>
  <c r="C20" i="81"/>
  <c r="B20" i="81"/>
  <c r="D19" i="81"/>
  <c r="C19" i="81"/>
  <c r="B19" i="81"/>
  <c r="D18" i="81"/>
  <c r="C18" i="81"/>
  <c r="B18" i="81"/>
  <c r="D17" i="81"/>
  <c r="C17" i="81"/>
  <c r="B17" i="81"/>
  <c r="D16" i="81"/>
  <c r="C16" i="81"/>
  <c r="B16" i="81"/>
  <c r="D15" i="81"/>
  <c r="C15" i="81"/>
  <c r="B15" i="81"/>
  <c r="D14" i="81"/>
  <c r="C14" i="81"/>
  <c r="B14" i="81"/>
  <c r="D13" i="81"/>
  <c r="C13" i="81"/>
  <c r="B13" i="81"/>
  <c r="D12" i="81"/>
  <c r="C12" i="81"/>
  <c r="B12" i="81"/>
  <c r="D11" i="81"/>
  <c r="C11" i="81"/>
  <c r="B11" i="81"/>
  <c r="D10" i="81"/>
  <c r="C10" i="81"/>
  <c r="B10" i="81"/>
  <c r="D9" i="81"/>
  <c r="C9" i="81"/>
  <c r="B9" i="81"/>
  <c r="D8" i="81"/>
  <c r="C8" i="81"/>
  <c r="B8" i="81"/>
  <c r="D7" i="81"/>
  <c r="C7" i="81"/>
  <c r="B7" i="81"/>
  <c r="D6" i="81"/>
  <c r="C6" i="81"/>
  <c r="B6" i="81"/>
  <c r="D5" i="81"/>
  <c r="C5" i="81"/>
  <c r="B5" i="81"/>
  <c r="D4" i="81"/>
  <c r="C4" i="81"/>
  <c r="B4" i="81"/>
  <c r="D3" i="81"/>
  <c r="C3" i="81"/>
  <c r="B3" i="81"/>
  <c r="D2" i="81"/>
  <c r="C2" i="81"/>
  <c r="B2" i="81"/>
  <c r="C3" i="96" s="1"/>
  <c r="K3" i="94" l="1"/>
  <c r="L3" i="94" s="1"/>
  <c r="F3" i="94"/>
  <c r="K5" i="94"/>
  <c r="L5" i="94" s="1"/>
  <c r="F5" i="94"/>
  <c r="K17" i="94"/>
  <c r="L17" i="94" s="1"/>
  <c r="F17" i="94"/>
  <c r="K16" i="94"/>
  <c r="L16" i="94" s="1"/>
  <c r="F16" i="94"/>
  <c r="K19" i="94"/>
  <c r="L19" i="94" s="1"/>
  <c r="F19" i="94"/>
  <c r="K20" i="94"/>
  <c r="L20" i="94" s="1"/>
  <c r="F20" i="94"/>
  <c r="K12" i="94"/>
  <c r="L12" i="94" s="1"/>
  <c r="F12" i="94"/>
  <c r="K23" i="94"/>
  <c r="L23" i="94" s="1"/>
  <c r="F23" i="94"/>
  <c r="K9" i="94"/>
  <c r="L9" i="94" s="1"/>
  <c r="F9" i="94"/>
  <c r="K13" i="94"/>
  <c r="L13" i="94" s="1"/>
  <c r="F13" i="94"/>
  <c r="K26" i="94"/>
  <c r="L26" i="94" s="1"/>
  <c r="F26" i="94"/>
  <c r="K24" i="94"/>
  <c r="L24" i="94" s="1"/>
  <c r="F24" i="94"/>
  <c r="K14" i="94"/>
  <c r="L14" i="94" s="1"/>
  <c r="F14" i="94"/>
  <c r="K18" i="94"/>
  <c r="L18" i="94" s="1"/>
  <c r="F18" i="94"/>
  <c r="K22" i="94"/>
  <c r="L22" i="94" s="1"/>
  <c r="F22" i="94"/>
  <c r="K21" i="94"/>
  <c r="L21" i="94" s="1"/>
  <c r="F21" i="94"/>
  <c r="K28" i="94"/>
  <c r="L28" i="94" s="1"/>
  <c r="F28" i="94"/>
  <c r="K11" i="94"/>
  <c r="L11" i="94" s="1"/>
  <c r="F11" i="94"/>
  <c r="K27" i="94"/>
  <c r="L27" i="94" s="1"/>
  <c r="F27" i="94"/>
  <c r="K15" i="94"/>
  <c r="L15" i="94" s="1"/>
  <c r="F15" i="94"/>
  <c r="K10" i="94"/>
  <c r="L10" i="94" s="1"/>
  <c r="F10" i="94"/>
  <c r="K25" i="94"/>
  <c r="L25" i="94" s="1"/>
  <c r="F25" i="94"/>
  <c r="K4" i="94"/>
  <c r="L4" i="94" s="1"/>
  <c r="F4" i="94"/>
  <c r="K8" i="94"/>
  <c r="L8" i="94" s="1"/>
  <c r="F8" i="94"/>
  <c r="K6" i="94"/>
  <c r="L6" i="94" s="1"/>
  <c r="F6" i="94"/>
  <c r="K29" i="94"/>
  <c r="L29" i="94" s="1"/>
  <c r="F29" i="94"/>
  <c r="K7" i="94"/>
  <c r="L7" i="94" s="1"/>
  <c r="F7" i="94"/>
  <c r="C7" i="96"/>
  <c r="C5" i="96"/>
  <c r="D6" i="89"/>
  <c r="C9" i="89"/>
  <c r="D14" i="89"/>
  <c r="D18" i="89"/>
  <c r="D22" i="89"/>
  <c r="D26" i="89"/>
  <c r="C29" i="89"/>
  <c r="D30" i="89"/>
  <c r="C4" i="89"/>
  <c r="C8" i="89"/>
  <c r="D13" i="89"/>
  <c r="C16" i="89"/>
  <c r="D21" i="89"/>
  <c r="D25" i="89"/>
  <c r="C28" i="89"/>
  <c r="D29" i="89"/>
  <c r="C3" i="89"/>
  <c r="D4" i="89"/>
  <c r="C7" i="89"/>
  <c r="D8" i="89"/>
  <c r="C11" i="89"/>
  <c r="D12" i="89"/>
  <c r="C15" i="89"/>
  <c r="D16" i="89"/>
  <c r="C19" i="89"/>
  <c r="D20" i="89"/>
  <c r="C23" i="89"/>
  <c r="D24" i="89"/>
  <c r="C27" i="89"/>
  <c r="D28" i="89"/>
  <c r="C5" i="89"/>
  <c r="D10" i="89"/>
  <c r="C13" i="89"/>
  <c r="C17" i="89"/>
  <c r="C21" i="89"/>
  <c r="C25" i="89"/>
  <c r="D5" i="89"/>
  <c r="D9" i="89"/>
  <c r="C12" i="89"/>
  <c r="D17" i="89"/>
  <c r="C20" i="89"/>
  <c r="C24" i="89"/>
  <c r="D3" i="89"/>
  <c r="C6" i="89"/>
  <c r="D7" i="89"/>
  <c r="C10" i="89"/>
  <c r="D11" i="89"/>
  <c r="C14" i="89"/>
  <c r="D15" i="89"/>
  <c r="C18" i="89"/>
  <c r="D19" i="89"/>
  <c r="C22" i="89"/>
  <c r="D23" i="89"/>
  <c r="C26" i="89"/>
  <c r="D27" i="89"/>
  <c r="C30" i="89"/>
  <c r="B5" i="89"/>
  <c r="B13" i="89"/>
  <c r="B21" i="89"/>
  <c r="B29" i="89"/>
  <c r="B10" i="89"/>
  <c r="B11" i="89"/>
  <c r="B19" i="89"/>
  <c r="B27" i="89"/>
  <c r="B15" i="89"/>
  <c r="B26" i="89"/>
  <c r="B16" i="89"/>
  <c r="B3" i="89"/>
  <c r="B6" i="89"/>
  <c r="B14" i="89"/>
  <c r="B22" i="89"/>
  <c r="B30" i="89"/>
  <c r="B24" i="89"/>
  <c r="B9" i="89"/>
  <c r="B17" i="89"/>
  <c r="B25" i="89"/>
  <c r="B7" i="89"/>
  <c r="B18" i="89"/>
  <c r="B8" i="89"/>
  <c r="B4" i="89"/>
  <c r="B12" i="89"/>
  <c r="B20" i="89"/>
  <c r="B28" i="89"/>
  <c r="B23" i="89"/>
  <c r="C12" i="96" l="1"/>
  <c r="E12" i="96" s="1"/>
  <c r="C15" i="96"/>
  <c r="E15" i="96" s="1"/>
  <c r="C14" i="96"/>
  <c r="E14" i="96" s="1"/>
  <c r="C8" i="96"/>
  <c r="E8" i="96" s="1"/>
  <c r="C11" i="96"/>
  <c r="E11" i="96" s="1"/>
  <c r="C10" i="96"/>
  <c r="E10" i="96" s="1"/>
  <c r="C17" i="96"/>
  <c r="E17" i="96" s="1"/>
  <c r="C13" i="96"/>
  <c r="E13" i="96" s="1"/>
  <c r="C19" i="96"/>
  <c r="C21" i="96"/>
  <c r="E3" i="96"/>
  <c r="K16" i="90"/>
  <c r="K9" i="90"/>
  <c r="K23" i="90"/>
  <c r="K15" i="90"/>
  <c r="K7" i="90"/>
  <c r="K28" i="90"/>
  <c r="N28" i="90" s="1"/>
  <c r="K29" i="90"/>
  <c r="N29" i="90" s="1"/>
  <c r="K17" i="90"/>
  <c r="K26" i="90"/>
  <c r="K18" i="90"/>
  <c r="K10" i="90"/>
  <c r="K12" i="90"/>
  <c r="K13" i="90"/>
  <c r="K8" i="90"/>
  <c r="K27" i="90"/>
  <c r="N27" i="90" s="1"/>
  <c r="K19" i="90"/>
  <c r="K11" i="90"/>
  <c r="K3" i="90"/>
  <c r="K24" i="90"/>
  <c r="K25" i="90"/>
  <c r="K22" i="90"/>
  <c r="K14" i="90"/>
  <c r="K6" i="90"/>
  <c r="K4" i="90"/>
  <c r="K20" i="90"/>
  <c r="K21" i="90"/>
  <c r="K5" i="90"/>
  <c r="K2" i="90"/>
  <c r="J8" i="93"/>
  <c r="P13" i="93" s="1"/>
  <c r="V13" i="93" s="1"/>
  <c r="H22" i="94" s="1"/>
  <c r="J29" i="90"/>
  <c r="J21" i="90"/>
  <c r="J13" i="90"/>
  <c r="J5" i="90"/>
  <c r="J24" i="90"/>
  <c r="J15" i="90"/>
  <c r="J11" i="90"/>
  <c r="J20" i="90"/>
  <c r="J4" i="90"/>
  <c r="J22" i="90"/>
  <c r="J14" i="90"/>
  <c r="J6" i="90"/>
  <c r="J27" i="90"/>
  <c r="J7" i="93"/>
  <c r="P10" i="93" s="1"/>
  <c r="V10" i="93" s="1"/>
  <c r="H25" i="94" s="1"/>
  <c r="J28" i="90"/>
  <c r="J25" i="90"/>
  <c r="J17" i="90"/>
  <c r="J9" i="90"/>
  <c r="J23" i="90"/>
  <c r="J16" i="90"/>
  <c r="J7" i="90"/>
  <c r="J8" i="90"/>
  <c r="J19" i="90"/>
  <c r="J12" i="90"/>
  <c r="J26" i="90"/>
  <c r="J18" i="90"/>
  <c r="J10" i="90"/>
  <c r="J3" i="90"/>
  <c r="J2" i="90"/>
  <c r="J6" i="93"/>
  <c r="P18" i="93" s="1"/>
  <c r="V18" i="93" s="1"/>
  <c r="H15" i="94" s="1"/>
  <c r="J11" i="93"/>
  <c r="K21" i="93"/>
  <c r="K26" i="93"/>
  <c r="K12" i="93"/>
  <c r="J17" i="93"/>
  <c r="K13" i="93"/>
  <c r="J12" i="93"/>
  <c r="K24" i="93"/>
  <c r="J22" i="93"/>
  <c r="K10" i="93"/>
  <c r="K28" i="93"/>
  <c r="K9" i="93"/>
  <c r="J19" i="93"/>
  <c r="J16" i="93"/>
  <c r="K22" i="93"/>
  <c r="J10" i="93"/>
  <c r="J20" i="93"/>
  <c r="K18" i="93"/>
  <c r="K2" i="93"/>
  <c r="P25" i="93" s="1"/>
  <c r="V25" i="93" s="1"/>
  <c r="H10" i="94" s="1"/>
  <c r="K19" i="93"/>
  <c r="J24" i="93"/>
  <c r="J29" i="93"/>
  <c r="J25" i="93"/>
  <c r="K17" i="93"/>
  <c r="J5" i="93"/>
  <c r="V5" i="93" s="1"/>
  <c r="H8" i="94" s="1"/>
  <c r="F4" i="91"/>
  <c r="J3" i="93"/>
  <c r="V3" i="93" s="1"/>
  <c r="H2" i="94" s="1"/>
  <c r="J15" i="93"/>
  <c r="K29" i="93"/>
  <c r="K20" i="93"/>
  <c r="K4" i="93"/>
  <c r="P26" i="93" s="1"/>
  <c r="V26" i="93" s="1"/>
  <c r="H9" i="94" s="1"/>
  <c r="J26" i="93"/>
  <c r="J9" i="93"/>
  <c r="K16" i="93"/>
  <c r="K11" i="93"/>
  <c r="K23" i="93"/>
  <c r="J18" i="93"/>
  <c r="K7" i="93"/>
  <c r="V7" i="93" s="1"/>
  <c r="H3" i="94" s="1"/>
  <c r="K8" i="93"/>
  <c r="V8" i="93" s="1"/>
  <c r="H5" i="94" s="1"/>
  <c r="G18" i="91"/>
  <c r="H18" i="91" s="1"/>
  <c r="B8" i="91" s="1"/>
  <c r="K5" i="93"/>
  <c r="P27" i="93" s="1"/>
  <c r="V27" i="93" s="1"/>
  <c r="H13" i="94" s="1"/>
  <c r="J4" i="93"/>
  <c r="V4" i="93" s="1"/>
  <c r="H4" i="94" s="1"/>
  <c r="J2" i="93"/>
  <c r="V2" i="93" s="1"/>
  <c r="H6" i="94" s="1"/>
  <c r="K27" i="93"/>
  <c r="K14" i="93"/>
  <c r="K25" i="93"/>
  <c r="K3" i="93"/>
  <c r="F3" i="91"/>
  <c r="H12" i="91" s="1"/>
  <c r="J13" i="93"/>
  <c r="J23" i="93"/>
  <c r="J28" i="93"/>
  <c r="J14" i="93"/>
  <c r="K6" i="93"/>
  <c r="V6" i="93" s="1"/>
  <c r="H7" i="94" s="1"/>
  <c r="K15" i="93"/>
  <c r="J21" i="93"/>
  <c r="J27" i="93"/>
  <c r="U6" i="88"/>
  <c r="A4" i="94"/>
  <c r="U27" i="88"/>
  <c r="A25" i="94"/>
  <c r="U30" i="88"/>
  <c r="A28" i="94"/>
  <c r="U29" i="88"/>
  <c r="A27" i="94"/>
  <c r="U19" i="88"/>
  <c r="A17" i="94"/>
  <c r="U15" i="88"/>
  <c r="A13" i="94"/>
  <c r="U10" i="88"/>
  <c r="A8" i="94"/>
  <c r="U21" i="88"/>
  <c r="A19" i="94"/>
  <c r="U13" i="88"/>
  <c r="A11" i="94"/>
  <c r="U16" i="88"/>
  <c r="A14" i="94"/>
  <c r="U8" i="88"/>
  <c r="A6" i="94"/>
  <c r="U7" i="88"/>
  <c r="A5" i="94"/>
  <c r="U28" i="88"/>
  <c r="A26" i="94"/>
  <c r="U20" i="88"/>
  <c r="A18" i="94"/>
  <c r="U5" i="88"/>
  <c r="A3" i="94"/>
  <c r="U18" i="88"/>
  <c r="A16" i="94"/>
  <c r="U24" i="88"/>
  <c r="A22" i="94"/>
  <c r="U26" i="88"/>
  <c r="A24" i="94"/>
  <c r="U23" i="88"/>
  <c r="A21" i="94"/>
  <c r="U12" i="88"/>
  <c r="A10" i="94"/>
  <c r="U22" i="88"/>
  <c r="A20" i="94"/>
  <c r="U9" i="88"/>
  <c r="A7" i="94"/>
  <c r="U31" i="88"/>
  <c r="A29" i="94"/>
  <c r="U4" i="88"/>
  <c r="A2" i="94"/>
  <c r="U11" i="88"/>
  <c r="A9" i="94"/>
  <c r="U17" i="88"/>
  <c r="A15" i="94"/>
  <c r="U25" i="88"/>
  <c r="A23" i="94"/>
  <c r="U14" i="88"/>
  <c r="A12" i="94"/>
  <c r="F13" i="88"/>
  <c r="G12" i="89"/>
  <c r="I26" i="88"/>
  <c r="F3" i="89"/>
  <c r="E3" i="89"/>
  <c r="F12" i="88"/>
  <c r="G11" i="89"/>
  <c r="I11" i="88"/>
  <c r="F14" i="89"/>
  <c r="E14" i="89"/>
  <c r="I10" i="88"/>
  <c r="F27" i="89"/>
  <c r="E27" i="89"/>
  <c r="G6" i="89"/>
  <c r="F28" i="88"/>
  <c r="I22" i="88"/>
  <c r="E5" i="89"/>
  <c r="F5" i="89"/>
  <c r="I13" i="88"/>
  <c r="F12" i="89"/>
  <c r="E12" i="89"/>
  <c r="I29" i="88"/>
  <c r="F24" i="89"/>
  <c r="E24" i="89"/>
  <c r="F21" i="88"/>
  <c r="G21" i="89"/>
  <c r="F20" i="88"/>
  <c r="G15" i="89"/>
  <c r="I5" i="88"/>
  <c r="E29" i="89"/>
  <c r="F29" i="89"/>
  <c r="F31" i="88"/>
  <c r="G8" i="89"/>
  <c r="I6" i="88"/>
  <c r="F23" i="89"/>
  <c r="E23" i="89"/>
  <c r="F18" i="88"/>
  <c r="G20" i="89"/>
  <c r="F8" i="88"/>
  <c r="G7" i="89"/>
  <c r="I23" i="88"/>
  <c r="F26" i="89"/>
  <c r="E26" i="89"/>
  <c r="F30" i="88"/>
  <c r="G25" i="89"/>
  <c r="I30" i="88"/>
  <c r="F25" i="89"/>
  <c r="E25" i="89"/>
  <c r="G17" i="89"/>
  <c r="F4" i="88"/>
  <c r="I28" i="88"/>
  <c r="F6" i="89"/>
  <c r="E6" i="89"/>
  <c r="F25" i="88"/>
  <c r="G10" i="89"/>
  <c r="I9" i="88"/>
  <c r="F28" i="89"/>
  <c r="E28" i="89"/>
  <c r="G22" i="89"/>
  <c r="F19" i="88"/>
  <c r="I12" i="88"/>
  <c r="F11" i="89"/>
  <c r="E11" i="89"/>
  <c r="I31" i="88"/>
  <c r="F8" i="89"/>
  <c r="E8" i="89"/>
  <c r="I25" i="88"/>
  <c r="E10" i="89"/>
  <c r="F10" i="89"/>
  <c r="F17" i="88"/>
  <c r="G19" i="89"/>
  <c r="F22" i="88"/>
  <c r="G5" i="89"/>
  <c r="F29" i="88"/>
  <c r="G24" i="89"/>
  <c r="I14" i="88"/>
  <c r="E13" i="89"/>
  <c r="F13" i="89"/>
  <c r="F14" i="88"/>
  <c r="G13" i="89"/>
  <c r="F16" i="88"/>
  <c r="G18" i="89"/>
  <c r="I8" i="88"/>
  <c r="F7" i="89"/>
  <c r="E7" i="89"/>
  <c r="I4" i="88"/>
  <c r="E17" i="89"/>
  <c r="F17" i="89"/>
  <c r="I24" i="88"/>
  <c r="E9" i="89"/>
  <c r="F9" i="89"/>
  <c r="I19" i="88"/>
  <c r="E22" i="89"/>
  <c r="F22" i="89"/>
  <c r="F5" i="88"/>
  <c r="G29" i="89"/>
  <c r="F15" i="88"/>
  <c r="G16" i="89"/>
  <c r="F7" i="88"/>
  <c r="G30" i="89"/>
  <c r="I17" i="88"/>
  <c r="E19" i="89"/>
  <c r="F19" i="89"/>
  <c r="F26" i="88"/>
  <c r="G3" i="89"/>
  <c r="F6" i="88"/>
  <c r="G23" i="89"/>
  <c r="F10" i="88"/>
  <c r="G27" i="89"/>
  <c r="I15" i="88"/>
  <c r="F16" i="89"/>
  <c r="E16" i="89"/>
  <c r="F27" i="88"/>
  <c r="G4" i="89"/>
  <c r="I21" i="88"/>
  <c r="E21" i="89"/>
  <c r="F21" i="89"/>
  <c r="I18" i="88"/>
  <c r="F20" i="89"/>
  <c r="E20" i="89"/>
  <c r="F23" i="88"/>
  <c r="G26" i="89"/>
  <c r="I20" i="88"/>
  <c r="F15" i="89"/>
  <c r="E15" i="89"/>
  <c r="F11" i="88"/>
  <c r="G14" i="89"/>
  <c r="F9" i="88"/>
  <c r="G28" i="89"/>
  <c r="I7" i="88"/>
  <c r="F30" i="89"/>
  <c r="E30" i="89"/>
  <c r="F24" i="88"/>
  <c r="G9" i="89"/>
  <c r="I16" i="88"/>
  <c r="E18" i="89"/>
  <c r="F18" i="89"/>
  <c r="I27" i="88"/>
  <c r="F4" i="89"/>
  <c r="E4" i="89"/>
  <c r="I18" i="94" l="1"/>
  <c r="I10" i="94"/>
  <c r="I21" i="94"/>
  <c r="I15" i="94"/>
  <c r="I22" i="94"/>
  <c r="I29" i="94"/>
  <c r="I7" i="94"/>
  <c r="I3" i="94"/>
  <c r="I9" i="94"/>
  <c r="I17" i="94"/>
  <c r="I6" i="94"/>
  <c r="I12" i="94"/>
  <c r="I26" i="94"/>
  <c r="I11" i="94"/>
  <c r="I20" i="94"/>
  <c r="I8" i="94"/>
  <c r="I24" i="94"/>
  <c r="I25" i="94"/>
  <c r="I14" i="94"/>
  <c r="I5" i="94"/>
  <c r="I16" i="94"/>
  <c r="I19" i="94"/>
  <c r="I13" i="94"/>
  <c r="I23" i="94"/>
  <c r="I28" i="94"/>
  <c r="I4" i="94"/>
  <c r="I27" i="94"/>
  <c r="H5" i="91"/>
  <c r="I2" i="94"/>
  <c r="P23" i="93"/>
  <c r="V23" i="93" s="1"/>
  <c r="H21" i="94" s="1"/>
  <c r="P17" i="93"/>
  <c r="V17" i="93" s="1"/>
  <c r="H18" i="94" s="1"/>
  <c r="V9" i="88"/>
  <c r="P11" i="93"/>
  <c r="V11" i="93" s="1"/>
  <c r="H20" i="94" s="1"/>
  <c r="P14" i="93"/>
  <c r="V14" i="93" s="1"/>
  <c r="H23" i="94" s="1"/>
  <c r="R13" i="93"/>
  <c r="L13" i="93" s="1"/>
  <c r="G22" i="94" s="1"/>
  <c r="P20" i="93"/>
  <c r="V20" i="93" s="1"/>
  <c r="H19" i="94" s="1"/>
  <c r="P7" i="90"/>
  <c r="R7" i="90" s="1"/>
  <c r="L7" i="90" s="1"/>
  <c r="P19" i="90"/>
  <c r="R19" i="90" s="1"/>
  <c r="L19" i="90" s="1"/>
  <c r="P3" i="90"/>
  <c r="R3" i="90" s="1"/>
  <c r="L3" i="90" s="1"/>
  <c r="P24" i="90"/>
  <c r="R24" i="90" s="1"/>
  <c r="L24" i="90" s="1"/>
  <c r="P12" i="90"/>
  <c r="R12" i="90" s="1"/>
  <c r="L12" i="90" s="1"/>
  <c r="P18" i="90"/>
  <c r="R18" i="90" s="1"/>
  <c r="L18" i="90" s="1"/>
  <c r="P2" i="90"/>
  <c r="R2" i="90" s="1"/>
  <c r="P11" i="90"/>
  <c r="R11" i="90" s="1"/>
  <c r="L11" i="90" s="1"/>
  <c r="P23" i="90"/>
  <c r="R23" i="90" s="1"/>
  <c r="L23" i="90" s="1"/>
  <c r="P4" i="90"/>
  <c r="R4" i="90" s="1"/>
  <c r="L4" i="90" s="1"/>
  <c r="P25" i="90"/>
  <c r="R25" i="90" s="1"/>
  <c r="L25" i="90" s="1"/>
  <c r="P14" i="90"/>
  <c r="R14" i="90" s="1"/>
  <c r="L14" i="90" s="1"/>
  <c r="P9" i="90"/>
  <c r="R9" i="90" s="1"/>
  <c r="L9" i="90" s="1"/>
  <c r="P20" i="90"/>
  <c r="R20" i="90" s="1"/>
  <c r="L20" i="90" s="1"/>
  <c r="P8" i="90"/>
  <c r="R8" i="90" s="1"/>
  <c r="L8" i="90" s="1"/>
  <c r="P17" i="90"/>
  <c r="R17" i="90" s="1"/>
  <c r="L17" i="90" s="1"/>
  <c r="P10" i="90"/>
  <c r="R10" i="90" s="1"/>
  <c r="L10" i="90" s="1"/>
  <c r="P13" i="90"/>
  <c r="R13" i="90" s="1"/>
  <c r="L13" i="90" s="1"/>
  <c r="P21" i="90"/>
  <c r="R21" i="90" s="1"/>
  <c r="L21" i="90" s="1"/>
  <c r="P15" i="90"/>
  <c r="R15" i="90" s="1"/>
  <c r="L15" i="90" s="1"/>
  <c r="P5" i="90"/>
  <c r="R5" i="90" s="1"/>
  <c r="L5" i="90" s="1"/>
  <c r="P12" i="93"/>
  <c r="V12" i="93" s="1"/>
  <c r="H29" i="94" s="1"/>
  <c r="P19" i="93"/>
  <c r="V19" i="93" s="1"/>
  <c r="H16" i="94" s="1"/>
  <c r="R10" i="93"/>
  <c r="L10" i="93" s="1"/>
  <c r="G25" i="94" s="1"/>
  <c r="P16" i="93"/>
  <c r="V16" i="93" s="1"/>
  <c r="H12" i="94" s="1"/>
  <c r="P22" i="93"/>
  <c r="V22" i="93" s="1"/>
  <c r="H28" i="94" s="1"/>
  <c r="V6" i="88"/>
  <c r="P15" i="93"/>
  <c r="V15" i="93" s="1"/>
  <c r="H11" i="94" s="1"/>
  <c r="R18" i="93"/>
  <c r="L18" i="93" s="1"/>
  <c r="G15" i="94" s="1"/>
  <c r="P21" i="93"/>
  <c r="V21" i="93" s="1"/>
  <c r="H27" i="94" s="1"/>
  <c r="P9" i="93"/>
  <c r="V9" i="93" s="1"/>
  <c r="H24" i="94" s="1"/>
  <c r="V29" i="88"/>
  <c r="L29" i="88" s="1"/>
  <c r="M29" i="88" s="1"/>
  <c r="N29" i="88" s="1"/>
  <c r="V23" i="88"/>
  <c r="V24" i="88"/>
  <c r="L27" i="90"/>
  <c r="P28" i="93"/>
  <c r="V28" i="93" s="1"/>
  <c r="H14" i="94" s="1"/>
  <c r="R26" i="93"/>
  <c r="L26" i="93" s="1"/>
  <c r="G9" i="94" s="1"/>
  <c r="N6" i="93"/>
  <c r="L6" i="93"/>
  <c r="G7" i="94" s="1"/>
  <c r="L28" i="90"/>
  <c r="N8" i="93"/>
  <c r="L8" i="93"/>
  <c r="G5" i="94" s="1"/>
  <c r="P24" i="93"/>
  <c r="V24" i="93" s="1"/>
  <c r="H26" i="94" s="1"/>
  <c r="N7" i="93"/>
  <c r="L29" i="90"/>
  <c r="P29" i="93"/>
  <c r="V29" i="93" s="1"/>
  <c r="H17" i="94" s="1"/>
  <c r="L7" i="93"/>
  <c r="G3" i="94" s="1"/>
  <c r="V22" i="88"/>
  <c r="V10" i="88"/>
  <c r="L10" i="88" s="1"/>
  <c r="M10" i="88" s="1"/>
  <c r="N10" i="88" s="1"/>
  <c r="V26" i="88"/>
  <c r="V5" i="88"/>
  <c r="L5" i="88" s="1"/>
  <c r="M5" i="88" s="1"/>
  <c r="N5" i="88" s="1"/>
  <c r="V11" i="88"/>
  <c r="V17" i="88"/>
  <c r="V25" i="88"/>
  <c r="V12" i="88"/>
  <c r="V4" i="88"/>
  <c r="V27" i="88"/>
  <c r="V15" i="88"/>
  <c r="V16" i="88"/>
  <c r="V18" i="88"/>
  <c r="V21" i="88"/>
  <c r="V13" i="88"/>
  <c r="V19" i="88"/>
  <c r="V30" i="88"/>
  <c r="V31" i="88"/>
  <c r="V7" i="88"/>
  <c r="V14" i="88"/>
  <c r="V8" i="88"/>
  <c r="V20" i="88"/>
  <c r="V28" i="88"/>
  <c r="H21" i="88"/>
  <c r="H6" i="88"/>
  <c r="H12" i="88"/>
  <c r="H23" i="88"/>
  <c r="H27" i="88"/>
  <c r="H7" i="88"/>
  <c r="H25" i="88"/>
  <c r="H29" i="88"/>
  <c r="H17" i="88"/>
  <c r="H24" i="88"/>
  <c r="H31" i="88"/>
  <c r="H9" i="88"/>
  <c r="H5" i="88"/>
  <c r="H11" i="88"/>
  <c r="H16" i="88"/>
  <c r="H18" i="88"/>
  <c r="H15" i="88"/>
  <c r="H30" i="88"/>
  <c r="H20" i="88"/>
  <c r="H19" i="88"/>
  <c r="H8" i="88"/>
  <c r="H14" i="88"/>
  <c r="H28" i="88"/>
  <c r="H13" i="88"/>
  <c r="H22" i="88"/>
  <c r="H10" i="88"/>
  <c r="H26" i="88"/>
  <c r="R25" i="93"/>
  <c r="L25" i="93" s="1"/>
  <c r="G10" i="94" s="1"/>
  <c r="R27" i="93"/>
  <c r="L27" i="93" s="1"/>
  <c r="G13" i="94" s="1"/>
  <c r="H4" i="88"/>
  <c r="F5" i="91"/>
  <c r="R23" i="93" l="1"/>
  <c r="L23" i="93" s="1"/>
  <c r="G21" i="94" s="1"/>
  <c r="R17" i="93"/>
  <c r="L17" i="93" s="1"/>
  <c r="G18" i="94" s="1"/>
  <c r="R11" i="93"/>
  <c r="L11" i="93" s="1"/>
  <c r="G20" i="94" s="1"/>
  <c r="R20" i="93"/>
  <c r="L20" i="93" s="1"/>
  <c r="G19" i="94" s="1"/>
  <c r="R14" i="93"/>
  <c r="L14" i="93" s="1"/>
  <c r="G23" i="94" s="1"/>
  <c r="R12" i="93"/>
  <c r="L12" i="93" s="1"/>
  <c r="G29" i="94" s="1"/>
  <c r="R22" i="93"/>
  <c r="L22" i="93" s="1"/>
  <c r="G28" i="94" s="1"/>
  <c r="R19" i="93"/>
  <c r="L19" i="93" s="1"/>
  <c r="G16" i="94" s="1"/>
  <c r="R16" i="93"/>
  <c r="L16" i="93" s="1"/>
  <c r="G12" i="94" s="1"/>
  <c r="R15" i="93"/>
  <c r="L15" i="93" s="1"/>
  <c r="G11" i="94" s="1"/>
  <c r="R21" i="93"/>
  <c r="L21" i="93" s="1"/>
  <c r="G27" i="94" s="1"/>
  <c r="R9" i="93"/>
  <c r="L9" i="93" s="1"/>
  <c r="G24" i="94" s="1"/>
  <c r="R28" i="93"/>
  <c r="L28" i="93" s="1"/>
  <c r="G14" i="94" s="1"/>
  <c r="R29" i="93"/>
  <c r="L29" i="93" s="1"/>
  <c r="G17" i="94" s="1"/>
  <c r="R24" i="93"/>
  <c r="L24" i="93" s="1"/>
  <c r="G26" i="94" s="1"/>
  <c r="G26" i="88"/>
  <c r="G11" i="88"/>
  <c r="G16" i="88"/>
  <c r="B10" i="91"/>
  <c r="L2" i="90"/>
  <c r="R10" i="88"/>
  <c r="Q10" i="88" s="1"/>
  <c r="P10" i="88" s="1"/>
  <c r="R29" i="88"/>
  <c r="Q29" i="88" s="1"/>
  <c r="P29" i="88" s="1"/>
  <c r="R5" i="88"/>
  <c r="Q5" i="88" s="1"/>
  <c r="P5" i="88" s="1"/>
  <c r="G4" i="88"/>
  <c r="H34" i="88"/>
  <c r="H35" i="88"/>
  <c r="G20" i="88"/>
  <c r="R14" i="88"/>
  <c r="Q14" i="88" s="1"/>
  <c r="P14" i="88" s="1"/>
  <c r="L14" i="88"/>
  <c r="M14" i="88" s="1"/>
  <c r="N14" i="88" s="1"/>
  <c r="R31" i="88"/>
  <c r="Q31" i="88" s="1"/>
  <c r="P31" i="88" s="1"/>
  <c r="L31" i="88"/>
  <c r="M31" i="88" s="1"/>
  <c r="N31" i="88" s="1"/>
  <c r="L19" i="88"/>
  <c r="M19" i="88" s="1"/>
  <c r="N19" i="88" s="1"/>
  <c r="R19" i="88"/>
  <c r="Q19" i="88" s="1"/>
  <c r="P19" i="88" s="1"/>
  <c r="L25" i="88"/>
  <c r="M25" i="88" s="1"/>
  <c r="N25" i="88" s="1"/>
  <c r="R25" i="88"/>
  <c r="Q25" i="88" s="1"/>
  <c r="P25" i="88" s="1"/>
  <c r="L30" i="88"/>
  <c r="M30" i="88" s="1"/>
  <c r="N30" i="88" s="1"/>
  <c r="R30" i="88"/>
  <c r="Q30" i="88" s="1"/>
  <c r="P30" i="88" s="1"/>
  <c r="R28" i="88"/>
  <c r="Q28" i="88" s="1"/>
  <c r="P28" i="88" s="1"/>
  <c r="L28" i="88"/>
  <c r="M28" i="88" s="1"/>
  <c r="N28" i="88" s="1"/>
  <c r="R17" i="88"/>
  <c r="Q17" i="88" s="1"/>
  <c r="P17" i="88" s="1"/>
  <c r="L17" i="88"/>
  <c r="M17" i="88" s="1"/>
  <c r="N17" i="88" s="1"/>
  <c r="R27" i="88"/>
  <c r="Q27" i="88" s="1"/>
  <c r="P27" i="88" s="1"/>
  <c r="L27" i="88"/>
  <c r="M27" i="88" s="1"/>
  <c r="N27" i="88" s="1"/>
  <c r="L20" i="88"/>
  <c r="M20" i="88" s="1"/>
  <c r="N20" i="88" s="1"/>
  <c r="R20" i="88"/>
  <c r="Q20" i="88" s="1"/>
  <c r="P20" i="88" s="1"/>
  <c r="L22" i="88"/>
  <c r="M22" i="88" s="1"/>
  <c r="N22" i="88" s="1"/>
  <c r="R22" i="88"/>
  <c r="Q22" i="88" s="1"/>
  <c r="P22" i="88" s="1"/>
  <c r="L8" i="88"/>
  <c r="M8" i="88" s="1"/>
  <c r="N8" i="88" s="1"/>
  <c r="R8" i="88"/>
  <c r="Q8" i="88" s="1"/>
  <c r="P8" i="88" s="1"/>
  <c r="L7" i="88"/>
  <c r="M7" i="88" s="1"/>
  <c r="N7" i="88" s="1"/>
  <c r="R7" i="88"/>
  <c r="Q7" i="88" s="1"/>
  <c r="P7" i="88" s="1"/>
  <c r="L11" i="88"/>
  <c r="M11" i="88" s="1"/>
  <c r="N11" i="88" s="1"/>
  <c r="R11" i="88"/>
  <c r="Q11" i="88" s="1"/>
  <c r="P11" i="88" s="1"/>
  <c r="R12" i="88"/>
  <c r="Q12" i="88" s="1"/>
  <c r="P12" i="88" s="1"/>
  <c r="L12" i="88"/>
  <c r="M12" i="88" s="1"/>
  <c r="N12" i="88" s="1"/>
  <c r="R24" i="88"/>
  <c r="Q24" i="88" s="1"/>
  <c r="P24" i="88" s="1"/>
  <c r="L24" i="88"/>
  <c r="M24" i="88" s="1"/>
  <c r="N24" i="88" s="1"/>
  <c r="R4" i="88"/>
  <c r="Q4" i="88" s="1"/>
  <c r="P4" i="88" s="1"/>
  <c r="L4" i="88"/>
  <c r="M4" i="88" s="1"/>
  <c r="N4" i="88" s="1"/>
  <c r="R6" i="88"/>
  <c r="Q6" i="88" s="1"/>
  <c r="P6" i="88" s="1"/>
  <c r="L6" i="88"/>
  <c r="M6" i="88" s="1"/>
  <c r="N6" i="88" s="1"/>
  <c r="R18" i="88"/>
  <c r="Q18" i="88" s="1"/>
  <c r="P18" i="88" s="1"/>
  <c r="L18" i="88"/>
  <c r="M18" i="88" s="1"/>
  <c r="N18" i="88" s="1"/>
  <c r="R15" i="88"/>
  <c r="Q15" i="88" s="1"/>
  <c r="P15" i="88" s="1"/>
  <c r="L15" i="88"/>
  <c r="M15" i="88" s="1"/>
  <c r="N15" i="88" s="1"/>
  <c r="R23" i="88"/>
  <c r="Q23" i="88" s="1"/>
  <c r="P23" i="88" s="1"/>
  <c r="L23" i="88"/>
  <c r="M23" i="88" s="1"/>
  <c r="N23" i="88" s="1"/>
  <c r="L13" i="88"/>
  <c r="M13" i="88" s="1"/>
  <c r="N13" i="88" s="1"/>
  <c r="R13" i="88"/>
  <c r="Q13" i="88" s="1"/>
  <c r="P13" i="88" s="1"/>
  <c r="R16" i="88"/>
  <c r="Q16" i="88" s="1"/>
  <c r="P16" i="88" s="1"/>
  <c r="L16" i="88"/>
  <c r="M16" i="88" s="1"/>
  <c r="N16" i="88" s="1"/>
  <c r="R21" i="88"/>
  <c r="Q21" i="88" s="1"/>
  <c r="P21" i="88" s="1"/>
  <c r="L21" i="88"/>
  <c r="M21" i="88" s="1"/>
  <c r="N21" i="88" s="1"/>
  <c r="R26" i="88"/>
  <c r="Q26" i="88" s="1"/>
  <c r="P26" i="88" s="1"/>
  <c r="L26" i="88"/>
  <c r="M26" i="88" s="1"/>
  <c r="N26" i="88" s="1"/>
  <c r="L9" i="88"/>
  <c r="M9" i="88" s="1"/>
  <c r="N9" i="88" s="1"/>
  <c r="R9" i="88"/>
  <c r="Q9" i="88" s="1"/>
  <c r="P9" i="88" s="1"/>
</calcChain>
</file>

<file path=xl/connections.xml><?xml version="1.0" encoding="utf-8"?>
<connections xmlns="http://schemas.openxmlformats.org/spreadsheetml/2006/main">
  <connection id="1" keepAlive="1" name="Query - orders-2400365 demo historical" description="Connection to the 'orders-2400365 demo historical' query in the workbook." type="5" refreshedVersion="6" background="1" saveData="1">
    <dbPr connection="Provider=Microsoft.Mashup.OleDb.1;Data Source=$Workbook$;Location=&quot;orders-2400365 demo historical&quot;;Extended Properties=&quot;&quot;" command="SELECT * FROM [orders-2400365 demo historical]"/>
  </connection>
  <connection id="2" keepAlive="1" name="Query - orders-2400365 demo live" description="Connection to the 'orders-2400365 demo live' query in the workbook." type="5" refreshedVersion="6" background="1" saveData="1">
    <dbPr connection="Provider=Microsoft.Mashup.OleDb.1;Data Source=$Workbook$;Location=&quot;orders-2400365 demo live&quot;;Extended Properties=&quot;&quot;" command="SELECT * FROM [orders-2400365 demo live]"/>
  </connection>
  <connection id="3" keepAlive="1" name="Query - orders-4196723 real historical" description="Connection to the 'orders-4196723 real historical' query in the workbook." type="5" refreshedVersion="6" background="1" saveData="1">
    <dbPr connection="Provider=Microsoft.Mashup.OleDb.1;Data Source=$Workbook$;Location=&quot;orders-4196723 real historical&quot;;Extended Properties=&quot;&quot;" command="SELECT * FROM [orders-4196723 real historical]"/>
  </connection>
  <connection id="4" keepAlive="1" name="Query - orders-4196723 real live" description="Connection to the 'orders-4196723 real live' query in the workbook." type="5" refreshedVersion="6" background="1" saveData="1">
    <dbPr connection="Provider=Microsoft.Mashup.OleDb.1;Data Source=$Workbook$;Location=&quot;orders-4196723 real live&quot;;Extended Properties=&quot;&quot;" command="SELECT * FROM [orders-4196723 real live]"/>
  </connection>
  <connection id="5" keepAlive="1" name="Query - Pair_Specs_Outputs" description="Connection to the 'Pair_Specs_Outputs' query in the workbook." type="5" refreshedVersion="6" background="1" saveData="1">
    <dbPr connection="Provider=Microsoft.Mashup.OleDb.1;Data Source=$Workbook$;Location=Pair_Specs_Outputs;Extended Properties=&quot;&quot;" command="SELECT * FROM [Pair_Specs_Outputs]"/>
  </connection>
  <connection id="6" keepAlive="1" name="Query - Pair_Specs_Outputs (2)" description="Connection to the 'Pair_Specs_Outputs (2)' query in the workbook." type="5" refreshedVersion="6" background="1" saveData="1">
    <dbPr connection="Provider=Microsoft.Mashup.OleDb.1;Data Source=$Workbook$;Location=&quot;Pair_Specs_Outputs (2)&quot;;Extended Properties=&quot;&quot;" command="SELECT * FROM [Pair_Specs_Outputs (2)]"/>
  </connection>
</connections>
</file>

<file path=xl/sharedStrings.xml><?xml version="1.0" encoding="utf-8"?>
<sst xmlns="http://schemas.openxmlformats.org/spreadsheetml/2006/main" count="375" uniqueCount="143">
  <si>
    <t>JPY</t>
  </si>
  <si>
    <t>USD</t>
  </si>
  <si>
    <t>GBP</t>
  </si>
  <si>
    <t>EUR</t>
  </si>
  <si>
    <t>High</t>
  </si>
  <si>
    <t>Low</t>
  </si>
  <si>
    <t>EURUSD</t>
  </si>
  <si>
    <t>GBPNZD</t>
  </si>
  <si>
    <t>EURNZD</t>
  </si>
  <si>
    <t>AUDNZD</t>
  </si>
  <si>
    <t>GBPAUD</t>
  </si>
  <si>
    <t>EURAUD</t>
  </si>
  <si>
    <t>USDCAD</t>
  </si>
  <si>
    <t>NZDCAD</t>
  </si>
  <si>
    <t>GBPCAD</t>
  </si>
  <si>
    <t>EURCAD</t>
  </si>
  <si>
    <t>AUDCAD</t>
  </si>
  <si>
    <t>USDJPY</t>
  </si>
  <si>
    <t>NZDJPY</t>
  </si>
  <si>
    <t>GBPJPY</t>
  </si>
  <si>
    <t>EURJPY</t>
  </si>
  <si>
    <t>CHFJPY</t>
  </si>
  <si>
    <t>CADJPY</t>
  </si>
  <si>
    <t>AUDJPY</t>
  </si>
  <si>
    <t>NZDUSD</t>
  </si>
  <si>
    <t>GBPUSD</t>
  </si>
  <si>
    <t>AUDUSD</t>
  </si>
  <si>
    <t>USDCHF</t>
  </si>
  <si>
    <t>NZDCHF</t>
  </si>
  <si>
    <t>GBPCHF</t>
  </si>
  <si>
    <t>EURCHF</t>
  </si>
  <si>
    <t>CADCHF</t>
  </si>
  <si>
    <t>AUDCHF</t>
  </si>
  <si>
    <t>EURGBP</t>
  </si>
  <si>
    <t>Other</t>
  </si>
  <si>
    <t>L</t>
  </si>
  <si>
    <t>H</t>
  </si>
  <si>
    <t>Symbol</t>
  </si>
  <si>
    <t>Bid</t>
  </si>
  <si>
    <t>Ask</t>
  </si>
  <si>
    <t>Margin %</t>
  </si>
  <si>
    <t>Spread</t>
  </si>
  <si>
    <t>Spread Pips</t>
  </si>
  <si>
    <t>Spread Points</t>
  </si>
  <si>
    <t>Avg Price</t>
  </si>
  <si>
    <t>DDE</t>
  </si>
  <si>
    <t>T/B</t>
  </si>
  <si>
    <t>Filter</t>
  </si>
  <si>
    <t>Distance</t>
  </si>
  <si>
    <t>Rng</t>
  </si>
  <si>
    <t>MT4 DDE Live Market Data</t>
  </si>
  <si>
    <t>Currency</t>
  </si>
  <si>
    <t>Left</t>
  </si>
  <si>
    <t>Right</t>
  </si>
  <si>
    <t>Trade Size</t>
  </si>
  <si>
    <t>Factor</t>
  </si>
  <si>
    <t>Is USD?</t>
  </si>
  <si>
    <t>1st USD</t>
  </si>
  <si>
    <t>2nd USD</t>
  </si>
  <si>
    <t>Ask Price</t>
  </si>
  <si>
    <t>Bid Price</t>
  </si>
  <si>
    <t>Pip Value</t>
  </si>
  <si>
    <t>USD 2nd Pair</t>
  </si>
  <si>
    <t>USD 1st Pair</t>
  </si>
  <si>
    <t>Neither USD</t>
  </si>
  <si>
    <t>Lot</t>
  </si>
  <si>
    <t>Account</t>
  </si>
  <si>
    <t>Base Unit</t>
  </si>
  <si>
    <t>Base Pair</t>
  </si>
  <si>
    <t>Base Exchange</t>
  </si>
  <si>
    <t>Is Prim USD</t>
  </si>
  <si>
    <t>Is 2nd USD?</t>
  </si>
  <si>
    <t>Format 1</t>
  </si>
  <si>
    <t>Format 2</t>
  </si>
  <si>
    <t>USD Exchange</t>
  </si>
  <si>
    <t>Split 1</t>
  </si>
  <si>
    <t>Split 2</t>
  </si>
  <si>
    <t>Required Margin</t>
  </si>
  <si>
    <t>Calculation Table</t>
  </si>
  <si>
    <t>Req Margin</t>
  </si>
  <si>
    <t>Lot Size</t>
  </si>
  <si>
    <t>Margin</t>
  </si>
  <si>
    <t>Divisor</t>
  </si>
  <si>
    <t>XAUUSD</t>
  </si>
  <si>
    <t>Leverage</t>
  </si>
  <si>
    <t>Enter Lot Size</t>
  </si>
  <si>
    <t>Units</t>
  </si>
  <si>
    <t>Enter A/C Leverage</t>
  </si>
  <si>
    <t>Input cells marked in Gold</t>
  </si>
  <si>
    <t>Server Time</t>
  </si>
  <si>
    <t>Range</t>
  </si>
  <si>
    <t>USDSGD</t>
  </si>
  <si>
    <t>Average</t>
  </si>
  <si>
    <t>Price Table</t>
  </si>
  <si>
    <t>Margin Required</t>
  </si>
  <si>
    <t>CALCULATED</t>
  </si>
  <si>
    <t>Quote</t>
  </si>
  <si>
    <t>Pips less than</t>
  </si>
  <si>
    <t>Pips more than</t>
  </si>
  <si>
    <t>Market Range more than</t>
  </si>
  <si>
    <t>Market Range less than</t>
  </si>
  <si>
    <t>Input for highlights</t>
  </si>
  <si>
    <t>lot size</t>
  </si>
  <si>
    <t>ADR(30)</t>
  </si>
  <si>
    <t>ADR Percent more than</t>
  </si>
  <si>
    <t>don’t make any changes to these values.</t>
  </si>
  <si>
    <t>don’t make any changes to the values</t>
  </si>
  <si>
    <t>Local Time</t>
  </si>
  <si>
    <t>Local Computer Time</t>
  </si>
  <si>
    <t>Server Offset Hrs</t>
  </si>
  <si>
    <t>GMT Zone</t>
  </si>
  <si>
    <t>Hong Kong</t>
  </si>
  <si>
    <t>Singapore</t>
  </si>
  <si>
    <t>Sydney</t>
  </si>
  <si>
    <t>Tokyo</t>
  </si>
  <si>
    <t>Dubai</t>
  </si>
  <si>
    <t>Frankfurt</t>
  </si>
  <si>
    <t>London</t>
  </si>
  <si>
    <t>Moscow</t>
  </si>
  <si>
    <t>New York</t>
  </si>
  <si>
    <t>San Francisco</t>
  </si>
  <si>
    <t>Yes</t>
  </si>
  <si>
    <t>No</t>
  </si>
  <si>
    <t>Sun, 5 Apr, 03:00</t>
  </si>
  <si>
    <t>UTC+10h</t>
  </si>
  <si>
    <t>Sun, 4 Oct, 02:00</t>
  </si>
  <si>
    <t>UTC+11h</t>
  </si>
  <si>
    <t>Sun, 29 Mar, 02:00</t>
  </si>
  <si>
    <t>UTC+2h</t>
  </si>
  <si>
    <t>Sun, 25 Oct, 03:00</t>
  </si>
  <si>
    <t>UTC+1h</t>
  </si>
  <si>
    <t>Sun, 29 Mar, 01:00</t>
  </si>
  <si>
    <t>Sun, 25 Oct, 02:00</t>
  </si>
  <si>
    <t>UTC</t>
  </si>
  <si>
    <t>Sun, 8 Mar, 02:00</t>
  </si>
  <si>
    <t>UTC-4h</t>
  </si>
  <si>
    <t>Sun, 1 Nov, 02:00</t>
  </si>
  <si>
    <t>UTC-5h</t>
  </si>
  <si>
    <t>UTC-7h</t>
  </si>
  <si>
    <t>UTC-8h</t>
  </si>
  <si>
    <t>DST</t>
  </si>
  <si>
    <t>GMT/UTC Time</t>
  </si>
  <si>
    <t>ADR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</si>
</sst>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3" formatCode="_-* #,##0.00_-;\-* #,##0.00_-;_-* &quot;-&quot;??_-;_-@_-"/>
    <numFmt numFmtId="164" formatCode="&quot;$&quot;#,##0.00_);[Red]\(&quot;$&quot;#,##0.00\)"/>
    <numFmt numFmtId="165" formatCode="0.0"/>
    <numFmt numFmtId="166" formatCode="0.0000"/>
    <numFmt numFmtId="167" formatCode="hh\.mm\.ss"/>
    <numFmt numFmtId="168" formatCode="0.000"/>
    <numFmt numFmtId="169" formatCode="0.00000"/>
    <numFmt numFmtId="170" formatCode="&quot;$&quot;#,##0.0000"/>
    <numFmt numFmtId="171" formatCode="0.0%"/>
    <numFmt numFmtId="172" formatCode="&quot;$&quot;#,##0.00000"/>
    <numFmt numFmtId="173" formatCode="&quot;$&quot;#,##0.00"/>
    <numFmt numFmtId="174" formatCode="_-* #,##0_-;\-* #,##0_-;_-* &quot;-&quot;??_-;_-@_-"/>
    <numFmt numFmtId="175" formatCode="d/m/yyyy\ hh:mm"/>
    <numFmt numFmtId="176" formatCode="hh:mm"/>
  </numFmts>
  <fonts count="37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9C0006"/>
      <name val="Calibri"/>
      <family val="2"/>
      <scheme val="minor"/>
    </font>
    <font>
      <sz val="10"/>
      <color theme="1"/>
      <name val="Consolas"/>
      <family val="3"/>
    </font>
    <font>
      <b/>
      <sz val="10"/>
      <color theme="1"/>
      <name val="Consolas"/>
      <family val="3"/>
    </font>
    <font>
      <b/>
      <sz val="18"/>
      <color theme="1"/>
      <name val="Consolas"/>
      <family val="3"/>
    </font>
    <font>
      <sz val="11"/>
      <color theme="1"/>
      <name val="Calibri"/>
      <family val="2"/>
      <scheme val="minor"/>
    </font>
    <font>
      <u/>
      <sz val="10"/>
      <color theme="1"/>
      <name val="Consolas"/>
      <family val="3"/>
    </font>
    <font>
      <sz val="10"/>
      <color rgb="FF006100"/>
      <name val="Consolas"/>
      <family val="3"/>
    </font>
    <font>
      <sz val="10"/>
      <color rgb="FF9C0006"/>
      <name val="Consolas"/>
      <family val="3"/>
    </font>
    <font>
      <sz val="9"/>
      <color theme="1"/>
      <name val="Consolas"/>
      <family val="3"/>
    </font>
    <font>
      <sz val="9"/>
      <color rgb="FF006100"/>
      <name val="Consolas"/>
      <family val="3"/>
    </font>
    <font>
      <sz val="9"/>
      <color rgb="FF9C0006"/>
      <name val="Consolas"/>
      <family val="3"/>
    </font>
    <font>
      <sz val="9"/>
      <name val="Consolas"/>
      <family val="3"/>
    </font>
    <font>
      <sz val="11"/>
      <color theme="1" tint="0.14999847407452621"/>
      <name val="Consolas"/>
      <family val="3"/>
    </font>
    <font>
      <b/>
      <sz val="11"/>
      <color theme="1" tint="0.14999847407452621"/>
      <name val="Consolas"/>
      <family val="3"/>
    </font>
    <font>
      <b/>
      <sz val="14"/>
      <color theme="1" tint="0.14999847407452621"/>
      <name val="Consolas"/>
      <family val="3"/>
    </font>
    <font>
      <b/>
      <sz val="10"/>
      <color theme="1" tint="0.14999847407452621"/>
      <name val="Consolas"/>
      <family val="3"/>
    </font>
    <font>
      <sz val="10"/>
      <color theme="1" tint="0.14999847407452621"/>
      <name val="Consolas"/>
      <family val="3"/>
    </font>
    <font>
      <sz val="12"/>
      <color theme="1" tint="0.14999847407452621"/>
      <name val="Consolas"/>
      <family val="3"/>
    </font>
    <font>
      <sz val="24"/>
      <color theme="1" tint="0.14999847407452621"/>
      <name val="Consolas"/>
      <family val="3"/>
    </font>
    <font>
      <sz val="36"/>
      <color theme="1" tint="0.14999847407452621"/>
      <name val="Consolas"/>
      <family val="3"/>
    </font>
    <font>
      <sz val="18"/>
      <color theme="1" tint="0.14999847407452621"/>
      <name val="Consolas"/>
      <family val="3"/>
    </font>
    <font>
      <b/>
      <sz val="18"/>
      <color rgb="FFC00000"/>
      <name val="Consolas"/>
      <family val="3"/>
    </font>
    <font>
      <b/>
      <sz val="12"/>
      <color theme="1" tint="0.14999847407452621"/>
      <name val="Consolas"/>
      <family val="3"/>
    </font>
    <font>
      <b/>
      <sz val="10"/>
      <name val="Consolas"/>
      <family val="3"/>
    </font>
    <font>
      <sz val="10"/>
      <name val="Consolas"/>
      <family val="3"/>
    </font>
    <font>
      <sz val="9"/>
      <color theme="1" tint="0.14999847407452621"/>
      <name val="Consolas"/>
      <family val="3"/>
    </font>
    <font>
      <b/>
      <sz val="9"/>
      <color rgb="FF002060"/>
      <name val="Consolas"/>
      <family val="3"/>
    </font>
    <font>
      <sz val="8"/>
      <color rgb="FF920000"/>
      <name val="Consolas"/>
      <family val="3"/>
    </font>
    <font>
      <sz val="8"/>
      <color theme="9" tint="-0.499984740745262"/>
      <name val="Consolas"/>
      <family val="3"/>
    </font>
    <font>
      <b/>
      <sz val="11"/>
      <name val="Consolas"/>
      <family val="3"/>
    </font>
    <font>
      <sz val="12"/>
      <color theme="1"/>
      <name val="Consolas"/>
      <family val="3"/>
    </font>
    <font>
      <sz val="14"/>
      <color theme="1"/>
      <name val="Consolas"/>
      <family val="3"/>
    </font>
    <font>
      <sz val="16"/>
      <color theme="1"/>
      <name val="Consolas"/>
      <family val="3"/>
    </font>
    <font>
      <b/>
      <sz val="16"/>
      <color theme="1"/>
      <name val="Consolas"/>
      <family val="3"/>
    </font>
  </fonts>
  <fills count="2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 tint="0.249977111117893"/>
      </left>
      <right style="thin">
        <color theme="1" tint="0.249977111117893"/>
      </right>
      <top style="thin">
        <color theme="1" tint="0.249977111117893"/>
      </top>
      <bottom style="thin">
        <color theme="1" tint="0.249977111117893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1" tint="0.249977111117893"/>
      </left>
      <right/>
      <top/>
      <bottom style="thin">
        <color theme="1" tint="0.249977111117893"/>
      </bottom>
      <diagonal/>
    </border>
    <border>
      <left/>
      <right/>
      <top/>
      <bottom style="thin">
        <color theme="1" tint="0.249977111117893"/>
      </bottom>
      <diagonal/>
    </border>
    <border>
      <left/>
      <right style="thin">
        <color theme="1" tint="0.249977111117893"/>
      </right>
      <top/>
      <bottom style="thin">
        <color theme="1" tint="0.249977111117893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5" tint="-0.249977111117893"/>
      </left>
      <right style="thin">
        <color theme="0"/>
      </right>
      <top style="thin">
        <color theme="5" tint="-0.249977111117893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5" tint="-0.249977111117893"/>
      </top>
      <bottom style="thin">
        <color theme="0"/>
      </bottom>
      <diagonal/>
    </border>
    <border>
      <left style="thin">
        <color theme="0"/>
      </left>
      <right style="thin">
        <color theme="5" tint="-0.249977111117893"/>
      </right>
      <top style="thin">
        <color theme="5" tint="-0.249977111117893"/>
      </top>
      <bottom style="thin">
        <color theme="0"/>
      </bottom>
      <diagonal/>
    </border>
    <border>
      <left style="thin">
        <color theme="5" tint="-0.249977111117893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5" tint="-0.249977111117893"/>
      </right>
      <top style="thin">
        <color theme="0"/>
      </top>
      <bottom style="thin">
        <color theme="0"/>
      </bottom>
      <diagonal/>
    </border>
    <border>
      <left style="thin">
        <color theme="5" tint="-0.249977111117893"/>
      </left>
      <right style="thin">
        <color theme="0"/>
      </right>
      <top style="thin">
        <color theme="0"/>
      </top>
      <bottom style="thin">
        <color theme="5" tint="-0.249977111117893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5" tint="-0.249977111117893"/>
      </bottom>
      <diagonal/>
    </border>
    <border>
      <left style="thin">
        <color theme="0"/>
      </left>
      <right style="thin">
        <color theme="5" tint="-0.249977111117893"/>
      </right>
      <top style="thin">
        <color theme="0"/>
      </top>
      <bottom style="thin">
        <color theme="5" tint="-0.249977111117893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5" tint="-0.249977111117893"/>
      </left>
      <right style="thin">
        <color theme="5" tint="-0.249977111117893"/>
      </right>
      <top style="thin">
        <color theme="5" tint="-0.249977111117893"/>
      </top>
      <bottom style="thin">
        <color theme="0"/>
      </bottom>
      <diagonal/>
    </border>
    <border>
      <left style="thin">
        <color theme="5" tint="-0.249977111117893"/>
      </left>
      <right style="thin">
        <color theme="5" tint="-0.249977111117893"/>
      </right>
      <top style="thin">
        <color theme="0"/>
      </top>
      <bottom style="thin">
        <color theme="0"/>
      </bottom>
      <diagonal/>
    </border>
    <border>
      <left style="thin">
        <color theme="5" tint="-0.249977111117893"/>
      </left>
      <right style="thin">
        <color theme="5" tint="-0.249977111117893"/>
      </right>
      <top style="thin">
        <color theme="0"/>
      </top>
      <bottom style="thin">
        <color theme="5" tint="-0.249977111117893"/>
      </bottom>
      <diagonal/>
    </border>
    <border>
      <left/>
      <right style="thin">
        <color theme="0"/>
      </right>
      <top style="thin">
        <color theme="5" tint="-0.249977111117893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5" tint="-0.249977111117893"/>
      </bottom>
      <diagonal/>
    </border>
    <border>
      <left style="thin">
        <color theme="5" tint="-0.249977111117893"/>
      </left>
      <right style="thin">
        <color theme="5" tint="-0.249977111117893"/>
      </right>
      <top/>
      <bottom style="thin">
        <color theme="0"/>
      </bottom>
      <diagonal/>
    </border>
    <border>
      <left style="thin">
        <color theme="0"/>
      </left>
      <right style="thin">
        <color theme="5" tint="-0.249977111117893"/>
      </right>
      <top/>
      <bottom style="thin">
        <color theme="0"/>
      </bottom>
      <diagonal/>
    </border>
    <border>
      <left style="thin">
        <color theme="5" tint="0.39997558519241921"/>
      </left>
      <right/>
      <top style="thin">
        <color theme="5" tint="0.39997558519241921"/>
      </top>
      <bottom/>
      <diagonal/>
    </border>
    <border>
      <left/>
      <right/>
      <top style="thin">
        <color theme="5" tint="0.39997558519241921"/>
      </top>
      <bottom/>
      <diagonal/>
    </border>
    <border>
      <left/>
      <right style="thin">
        <color theme="5" tint="0.39997558519241921"/>
      </right>
      <top style="thin">
        <color theme="5" tint="0.39997558519241921"/>
      </top>
      <bottom/>
      <diagonal/>
    </border>
    <border>
      <left style="thin">
        <color theme="5" tint="0.39997558519241921"/>
      </left>
      <right/>
      <top/>
      <bottom style="thin">
        <color theme="0"/>
      </bottom>
      <diagonal/>
    </border>
    <border>
      <left/>
      <right style="thin">
        <color theme="5" tint="0.39997558519241921"/>
      </right>
      <top/>
      <bottom style="thin">
        <color theme="0"/>
      </bottom>
      <diagonal/>
    </border>
    <border>
      <left style="thin">
        <color theme="5" tint="0.39997558519241921"/>
      </left>
      <right style="thin">
        <color theme="0"/>
      </right>
      <top style="thin">
        <color theme="0"/>
      </top>
      <bottom style="thin">
        <color theme="5" tint="0.3999755851924192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5" tint="0.39997558519241921"/>
      </bottom>
      <diagonal/>
    </border>
    <border>
      <left style="thin">
        <color theme="0"/>
      </left>
      <right style="thin">
        <color theme="5" tint="0.39997558519241921"/>
      </right>
      <top style="thin">
        <color theme="0"/>
      </top>
      <bottom style="thin">
        <color theme="5" tint="0.39997558519241921"/>
      </bottom>
      <diagonal/>
    </border>
    <border>
      <left style="thin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</borders>
  <cellStyleXfs count="6">
    <xf numFmtId="0" fontId="0" fillId="0" borderId="0"/>
    <xf numFmtId="0" fontId="1" fillId="2" borderId="0" applyNumberFormat="0" applyBorder="0" applyAlignment="0" applyProtection="0"/>
    <xf numFmtId="0" fontId="2" fillId="0" borderId="0" applyNumberFormat="0" applyFill="0" applyBorder="0" applyAlignment="0" applyProtection="0"/>
    <xf numFmtId="0" fontId="3" fillId="3" borderId="0" applyNumberFormat="0" applyBorder="0" applyAlignment="0" applyProtection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</cellStyleXfs>
  <cellXfs count="356">
    <xf numFmtId="0" fontId="0" fillId="0" borderId="0" xfId="0"/>
    <xf numFmtId="0" fontId="15" fillId="0" borderId="0" xfId="0" applyFont="1" applyFill="1" applyBorder="1"/>
    <xf numFmtId="0" fontId="15" fillId="0" borderId="0" xfId="0" applyFont="1" applyFill="1" applyBorder="1" applyAlignment="1">
      <alignment vertical="center" wrapText="1"/>
    </xf>
    <xf numFmtId="0" fontId="15" fillId="0" borderId="0" xfId="0" applyFont="1" applyFill="1" applyBorder="1" applyAlignment="1">
      <alignment horizontal="right" vertical="center" wrapText="1"/>
    </xf>
    <xf numFmtId="0" fontId="15" fillId="0" borderId="0" xfId="0" applyFont="1" applyFill="1" applyBorder="1" applyAlignment="1">
      <alignment horizontal="left" vertical="center" wrapText="1"/>
    </xf>
    <xf numFmtId="1" fontId="15" fillId="0" borderId="0" xfId="0" applyNumberFormat="1" applyFont="1" applyFill="1" applyBorder="1" applyAlignment="1">
      <alignment vertical="center" wrapText="1"/>
    </xf>
    <xf numFmtId="166" fontId="15" fillId="0" borderId="0" xfId="0" applyNumberFormat="1" applyFont="1" applyFill="1" applyBorder="1" applyAlignment="1">
      <alignment vertical="center" wrapText="1"/>
    </xf>
    <xf numFmtId="164" fontId="15" fillId="0" borderId="0" xfId="0" applyNumberFormat="1" applyFont="1" applyFill="1" applyBorder="1" applyAlignment="1">
      <alignment vertical="center" wrapText="1"/>
    </xf>
    <xf numFmtId="169" fontId="15" fillId="0" borderId="0" xfId="0" applyNumberFormat="1" applyFont="1" applyFill="1" applyBorder="1"/>
    <xf numFmtId="169" fontId="15" fillId="0" borderId="0" xfId="0" applyNumberFormat="1" applyFont="1" applyFill="1" applyBorder="1" applyAlignment="1">
      <alignment vertical="center" wrapText="1"/>
    </xf>
    <xf numFmtId="173" fontId="15" fillId="0" borderId="0" xfId="0" applyNumberFormat="1" applyFont="1" applyFill="1" applyBorder="1"/>
    <xf numFmtId="2" fontId="15" fillId="0" borderId="0" xfId="0" applyNumberFormat="1" applyFont="1" applyFill="1" applyBorder="1"/>
    <xf numFmtId="0" fontId="15" fillId="0" borderId="0" xfId="0" applyFont="1" applyFill="1" applyBorder="1" applyAlignment="1">
      <alignment horizontal="right"/>
    </xf>
    <xf numFmtId="170" fontId="15" fillId="0" borderId="0" xfId="0" applyNumberFormat="1" applyFont="1" applyFill="1" applyBorder="1"/>
    <xf numFmtId="0" fontId="15" fillId="0" borderId="0" xfId="0" applyFont="1" applyFill="1" applyBorder="1" applyAlignment="1">
      <alignment horizontal="left"/>
    </xf>
    <xf numFmtId="1" fontId="15" fillId="0" borderId="0" xfId="0" applyNumberFormat="1" applyFont="1" applyFill="1" applyBorder="1"/>
    <xf numFmtId="166" fontId="15" fillId="0" borderId="0" xfId="0" applyNumberFormat="1" applyFont="1" applyFill="1" applyBorder="1"/>
    <xf numFmtId="2" fontId="16" fillId="0" borderId="0" xfId="2" applyNumberFormat="1" applyFont="1" applyFill="1" applyBorder="1" applyAlignment="1">
      <alignment vertical="center"/>
    </xf>
    <xf numFmtId="2" fontId="16" fillId="0" borderId="0" xfId="0" applyNumberFormat="1" applyFont="1" applyFill="1" applyBorder="1" applyAlignment="1">
      <alignment vertical="center"/>
    </xf>
    <xf numFmtId="0" fontId="16" fillId="0" borderId="0" xfId="0" applyFont="1" applyFill="1" applyBorder="1" applyAlignment="1">
      <alignment vertical="center"/>
    </xf>
    <xf numFmtId="2" fontId="15" fillId="0" borderId="0" xfId="0" applyNumberFormat="1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169" fontId="15" fillId="0" borderId="0" xfId="0" applyNumberFormat="1" applyFont="1" applyFill="1" applyBorder="1" applyAlignment="1">
      <alignment vertical="center"/>
    </xf>
    <xf numFmtId="172" fontId="15" fillId="0" borderId="0" xfId="0" applyNumberFormat="1" applyFont="1" applyFill="1" applyBorder="1" applyAlignment="1">
      <alignment vertical="center"/>
    </xf>
    <xf numFmtId="0" fontId="15" fillId="0" borderId="0" xfId="0" applyFont="1" applyFill="1" applyBorder="1" applyAlignment="1">
      <alignment horizontal="right" vertical="center"/>
    </xf>
    <xf numFmtId="0" fontId="15" fillId="0" borderId="0" xfId="0" applyFont="1" applyFill="1" applyBorder="1" applyAlignment="1">
      <alignment horizontal="left" vertical="center"/>
    </xf>
    <xf numFmtId="1" fontId="15" fillId="0" borderId="0" xfId="0" applyNumberFormat="1" applyFont="1" applyFill="1" applyBorder="1" applyAlignment="1">
      <alignment vertical="center"/>
    </xf>
    <xf numFmtId="166" fontId="15" fillId="0" borderId="0" xfId="0" applyNumberFormat="1" applyFont="1" applyFill="1" applyBorder="1" applyAlignment="1">
      <alignment vertical="center"/>
    </xf>
    <xf numFmtId="0" fontId="19" fillId="0" borderId="0" xfId="0" applyFont="1" applyFill="1" applyBorder="1" applyAlignment="1">
      <alignment vertical="center"/>
    </xf>
    <xf numFmtId="0" fontId="17" fillId="6" borderId="1" xfId="0" applyNumberFormat="1" applyFont="1" applyFill="1" applyBorder="1" applyAlignment="1">
      <alignment horizontal="center" vertical="center"/>
    </xf>
    <xf numFmtId="0" fontId="17" fillId="6" borderId="1" xfId="0" applyFont="1" applyFill="1" applyBorder="1" applyAlignment="1">
      <alignment horizontal="center" vertical="center"/>
    </xf>
    <xf numFmtId="0" fontId="25" fillId="6" borderId="1" xfId="0" applyFont="1" applyFill="1" applyBorder="1" applyAlignment="1">
      <alignment vertical="center"/>
    </xf>
    <xf numFmtId="0" fontId="19" fillId="0" borderId="0" xfId="0" applyFont="1" applyBorder="1" applyAlignment="1">
      <alignment vertical="center"/>
    </xf>
    <xf numFmtId="0" fontId="4" fillId="0" borderId="0" xfId="0" applyFont="1"/>
    <xf numFmtId="22" fontId="19" fillId="0" borderId="0" xfId="0" applyNumberFormat="1" applyFont="1" applyBorder="1" applyAlignment="1">
      <alignment horizontal="right" vertical="center"/>
    </xf>
    <xf numFmtId="169" fontId="19" fillId="0" borderId="0" xfId="0" applyNumberFormat="1" applyFont="1" applyBorder="1" applyAlignment="1">
      <alignment horizontal="right" vertical="center"/>
    </xf>
    <xf numFmtId="0" fontId="27" fillId="0" borderId="0" xfId="0" applyFont="1" applyFill="1" applyAlignment="1">
      <alignment horizontal="center" vertical="center"/>
    </xf>
    <xf numFmtId="165" fontId="27" fillId="0" borderId="0" xfId="0" applyNumberFormat="1" applyFont="1" applyFill="1" applyAlignment="1">
      <alignment horizontal="right" vertical="center"/>
    </xf>
    <xf numFmtId="0" fontId="27" fillId="0" borderId="0" xfId="2" applyFont="1" applyFill="1" applyBorder="1" applyAlignment="1">
      <alignment horizontal="center" vertical="center"/>
    </xf>
    <xf numFmtId="10" fontId="27" fillId="0" borderId="0" xfId="0" applyNumberFormat="1" applyFont="1" applyFill="1" applyAlignment="1">
      <alignment horizontal="center" vertical="center"/>
    </xf>
    <xf numFmtId="2" fontId="27" fillId="0" borderId="0" xfId="0" applyNumberFormat="1" applyFont="1" applyFill="1" applyAlignment="1">
      <alignment horizontal="right" vertical="center"/>
    </xf>
    <xf numFmtId="0" fontId="19" fillId="0" borderId="0" xfId="0" applyFont="1" applyFill="1" applyBorder="1" applyAlignment="1">
      <alignment horizontal="right" vertical="center"/>
    </xf>
    <xf numFmtId="0" fontId="20" fillId="8" borderId="3" xfId="0" applyFont="1" applyFill="1" applyBorder="1" applyAlignment="1">
      <alignment vertical="center"/>
    </xf>
    <xf numFmtId="0" fontId="21" fillId="12" borderId="3" xfId="0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vertical="top"/>
    </xf>
    <xf numFmtId="0" fontId="15" fillId="0" borderId="3" xfId="0" applyFont="1" applyFill="1" applyBorder="1"/>
    <xf numFmtId="0" fontId="20" fillId="8" borderId="3" xfId="0" applyFont="1" applyFill="1" applyBorder="1" applyAlignment="1">
      <alignment horizontal="center" vertical="center"/>
    </xf>
    <xf numFmtId="0" fontId="22" fillId="8" borderId="3" xfId="0" applyFont="1" applyFill="1" applyBorder="1" applyAlignment="1">
      <alignment horizontal="center" vertical="center"/>
    </xf>
    <xf numFmtId="0" fontId="15" fillId="5" borderId="3" xfId="0" applyFont="1" applyFill="1" applyBorder="1" applyAlignment="1">
      <alignment horizontal="right" vertical="center"/>
    </xf>
    <xf numFmtId="169" fontId="15" fillId="5" borderId="3" xfId="0" applyNumberFormat="1" applyFont="1" applyFill="1" applyBorder="1" applyAlignment="1">
      <alignment horizontal="right" vertical="center"/>
    </xf>
    <xf numFmtId="0" fontId="19" fillId="5" borderId="3" xfId="0" applyFont="1" applyFill="1" applyBorder="1" applyAlignment="1">
      <alignment horizontal="right" vertical="center"/>
    </xf>
    <xf numFmtId="169" fontId="19" fillId="5" borderId="3" xfId="0" applyNumberFormat="1" applyFont="1" applyFill="1" applyBorder="1" applyAlignment="1">
      <alignment vertical="center"/>
    </xf>
    <xf numFmtId="0" fontId="23" fillId="12" borderId="3" xfId="0" applyFont="1" applyFill="1" applyBorder="1" applyAlignment="1">
      <alignment horizontal="center" vertical="center"/>
    </xf>
    <xf numFmtId="2" fontId="15" fillId="5" borderId="3" xfId="0" applyNumberFormat="1" applyFont="1" applyFill="1" applyBorder="1" applyAlignment="1">
      <alignment horizontal="right" vertical="center"/>
    </xf>
    <xf numFmtId="171" fontId="23" fillId="12" borderId="3" xfId="0" applyNumberFormat="1" applyFont="1" applyFill="1" applyBorder="1" applyAlignment="1">
      <alignment horizontal="center" vertical="center"/>
    </xf>
    <xf numFmtId="0" fontId="19" fillId="0" borderId="3" xfId="0" applyFont="1" applyFill="1" applyBorder="1" applyAlignment="1">
      <alignment vertical="center"/>
    </xf>
    <xf numFmtId="0" fontId="23" fillId="8" borderId="3" xfId="0" applyFont="1" applyFill="1" applyBorder="1" applyAlignment="1">
      <alignment horizontal="center" vertical="center"/>
    </xf>
    <xf numFmtId="173" fontId="24" fillId="8" borderId="3" xfId="0" applyNumberFormat="1" applyFont="1" applyFill="1" applyBorder="1" applyAlignment="1">
      <alignment horizontal="center" vertical="center"/>
    </xf>
    <xf numFmtId="0" fontId="19" fillId="7" borderId="3" xfId="0" applyFont="1" applyFill="1" applyBorder="1" applyAlignment="1">
      <alignment horizontal="center" vertical="center"/>
    </xf>
    <xf numFmtId="173" fontId="23" fillId="8" borderId="3" xfId="0" applyNumberFormat="1" applyFont="1" applyFill="1" applyBorder="1" applyAlignment="1">
      <alignment horizontal="center" vertical="center"/>
    </xf>
    <xf numFmtId="2" fontId="19" fillId="7" borderId="3" xfId="0" applyNumberFormat="1" applyFont="1" applyFill="1" applyBorder="1" applyAlignment="1">
      <alignment horizontal="center" vertical="center"/>
    </xf>
    <xf numFmtId="10" fontId="19" fillId="7" borderId="3" xfId="0" applyNumberFormat="1" applyFont="1" applyFill="1" applyBorder="1" applyAlignment="1">
      <alignment horizontal="center" vertical="center"/>
    </xf>
    <xf numFmtId="173" fontId="23" fillId="0" borderId="3" xfId="0" applyNumberFormat="1" applyFont="1" applyFill="1" applyBorder="1" applyAlignment="1">
      <alignment horizontal="left" vertical="center"/>
    </xf>
    <xf numFmtId="0" fontId="20" fillId="0" borderId="3" xfId="0" applyFont="1" applyFill="1" applyBorder="1" applyAlignment="1">
      <alignment vertical="top"/>
    </xf>
    <xf numFmtId="172" fontId="19" fillId="7" borderId="3" xfId="0" applyNumberFormat="1" applyFont="1" applyFill="1" applyBorder="1" applyAlignment="1">
      <alignment horizontal="center" vertical="center"/>
    </xf>
    <xf numFmtId="0" fontId="23" fillId="0" borderId="3" xfId="0" applyFont="1" applyFill="1" applyBorder="1" applyAlignment="1">
      <alignment horizontal="left" vertical="center"/>
    </xf>
    <xf numFmtId="0" fontId="15" fillId="0" borderId="3" xfId="0" applyFont="1" applyFill="1" applyBorder="1" applyAlignment="1">
      <alignment horizontal="left" vertical="center"/>
    </xf>
    <xf numFmtId="166" fontId="19" fillId="7" borderId="3" xfId="0" applyNumberFormat="1" applyFont="1" applyFill="1" applyBorder="1" applyAlignment="1">
      <alignment horizontal="center" vertical="center"/>
    </xf>
    <xf numFmtId="0" fontId="19" fillId="0" borderId="3" xfId="0" applyFont="1" applyFill="1" applyBorder="1"/>
    <xf numFmtId="0" fontId="16" fillId="4" borderId="2" xfId="0" applyFont="1" applyFill="1" applyBorder="1" applyAlignment="1">
      <alignment horizontal="left" vertical="center" wrapText="1"/>
    </xf>
    <xf numFmtId="0" fontId="16" fillId="4" borderId="2" xfId="0" applyFont="1" applyFill="1" applyBorder="1" applyAlignment="1">
      <alignment horizontal="right" vertical="center" wrapText="1"/>
    </xf>
    <xf numFmtId="1" fontId="16" fillId="4" borderId="2" xfId="0" applyNumberFormat="1" applyFont="1" applyFill="1" applyBorder="1" applyAlignment="1">
      <alignment horizontal="center" vertical="center" wrapText="1"/>
    </xf>
    <xf numFmtId="166" fontId="16" fillId="4" borderId="2" xfId="0" applyNumberFormat="1" applyFont="1" applyFill="1" applyBorder="1" applyAlignment="1">
      <alignment horizontal="center" vertical="center" wrapText="1"/>
    </xf>
    <xf numFmtId="0" fontId="16" fillId="4" borderId="2" xfId="0" applyFont="1" applyFill="1" applyBorder="1" applyAlignment="1">
      <alignment horizontal="center" vertical="center" wrapText="1"/>
    </xf>
    <xf numFmtId="169" fontId="16" fillId="4" borderId="2" xfId="0" applyNumberFormat="1" applyFont="1" applyFill="1" applyBorder="1" applyAlignment="1">
      <alignment vertical="center"/>
    </xf>
    <xf numFmtId="169" fontId="16" fillId="4" borderId="2" xfId="0" applyNumberFormat="1" applyFont="1" applyFill="1" applyBorder="1" applyAlignment="1">
      <alignment horizontal="center" vertical="center" wrapText="1"/>
    </xf>
    <xf numFmtId="173" fontId="16" fillId="4" borderId="2" xfId="0" applyNumberFormat="1" applyFont="1" applyFill="1" applyBorder="1" applyAlignment="1">
      <alignment horizontal="right" vertical="center"/>
    </xf>
    <xf numFmtId="2" fontId="16" fillId="4" borderId="2" xfId="2" applyNumberFormat="1" applyFont="1" applyFill="1" applyBorder="1" applyAlignment="1">
      <alignment horizontal="right" vertical="center"/>
    </xf>
    <xf numFmtId="2" fontId="16" fillId="4" borderId="2" xfId="0" applyNumberFormat="1" applyFont="1" applyFill="1" applyBorder="1" applyAlignment="1">
      <alignment horizontal="right" vertical="center"/>
    </xf>
    <xf numFmtId="0" fontId="16" fillId="4" borderId="2" xfId="0" applyFont="1" applyFill="1" applyBorder="1" applyAlignment="1">
      <alignment horizontal="right" vertical="center"/>
    </xf>
    <xf numFmtId="0" fontId="15" fillId="0" borderId="2" xfId="0" applyFont="1" applyFill="1" applyBorder="1" applyAlignment="1">
      <alignment vertical="center"/>
    </xf>
    <xf numFmtId="0" fontId="15" fillId="0" borderId="2" xfId="0" applyFont="1" applyFill="1" applyBorder="1" applyAlignment="1">
      <alignment horizontal="right" vertical="center"/>
    </xf>
    <xf numFmtId="0" fontId="15" fillId="0" borderId="2" xfId="0" applyFont="1" applyFill="1" applyBorder="1" applyAlignment="1">
      <alignment horizontal="left" vertical="center"/>
    </xf>
    <xf numFmtId="1" fontId="15" fillId="0" borderId="2" xfId="0" applyNumberFormat="1" applyFont="1" applyFill="1" applyBorder="1" applyAlignment="1">
      <alignment vertical="center" wrapText="1"/>
    </xf>
    <xf numFmtId="166" fontId="15" fillId="0" borderId="2" xfId="0" applyNumberFormat="1" applyFont="1" applyFill="1" applyBorder="1" applyAlignment="1">
      <alignment vertical="center" wrapText="1"/>
    </xf>
    <xf numFmtId="164" fontId="15" fillId="0" borderId="2" xfId="0" applyNumberFormat="1" applyFont="1" applyFill="1" applyBorder="1" applyAlignment="1">
      <alignment vertical="center" wrapText="1"/>
    </xf>
    <xf numFmtId="169" fontId="15" fillId="0" borderId="2" xfId="0" applyNumberFormat="1" applyFont="1" applyFill="1" applyBorder="1" applyAlignment="1">
      <alignment vertical="center"/>
    </xf>
    <xf numFmtId="169" fontId="15" fillId="0" borderId="2" xfId="0" applyNumberFormat="1" applyFont="1" applyFill="1" applyBorder="1" applyAlignment="1">
      <alignment vertical="center" wrapText="1"/>
    </xf>
    <xf numFmtId="173" fontId="15" fillId="0" borderId="2" xfId="0" applyNumberFormat="1" applyFont="1" applyFill="1" applyBorder="1" applyAlignment="1">
      <alignment vertical="center"/>
    </xf>
    <xf numFmtId="2" fontId="15" fillId="0" borderId="2" xfId="0" applyNumberFormat="1" applyFont="1" applyFill="1" applyBorder="1" applyAlignment="1">
      <alignment vertical="center"/>
    </xf>
    <xf numFmtId="0" fontId="15" fillId="9" borderId="2" xfId="0" applyFont="1" applyFill="1" applyBorder="1" applyAlignment="1">
      <alignment vertical="center"/>
    </xf>
    <xf numFmtId="174" fontId="15" fillId="9" borderId="2" xfId="4" applyNumberFormat="1" applyFont="1" applyFill="1" applyBorder="1" applyAlignment="1">
      <alignment vertical="center"/>
    </xf>
    <xf numFmtId="0" fontId="16" fillId="5" borderId="2" xfId="0" applyFont="1" applyFill="1" applyBorder="1" applyAlignment="1">
      <alignment horizontal="left" vertical="center" wrapText="1"/>
    </xf>
    <xf numFmtId="0" fontId="16" fillId="5" borderId="2" xfId="0" applyFont="1" applyFill="1" applyBorder="1" applyAlignment="1">
      <alignment horizontal="right" vertical="center" wrapText="1"/>
    </xf>
    <xf numFmtId="1" fontId="16" fillId="5" borderId="2" xfId="0" applyNumberFormat="1" applyFont="1" applyFill="1" applyBorder="1" applyAlignment="1">
      <alignment horizontal="center" vertical="center" wrapText="1"/>
    </xf>
    <xf numFmtId="166" fontId="16" fillId="5" borderId="2" xfId="0" applyNumberFormat="1" applyFont="1" applyFill="1" applyBorder="1" applyAlignment="1">
      <alignment horizontal="center" vertical="center" wrapText="1"/>
    </xf>
    <xf numFmtId="0" fontId="16" fillId="5" borderId="2" xfId="0" applyFont="1" applyFill="1" applyBorder="1" applyAlignment="1">
      <alignment horizontal="center" vertical="center" wrapText="1"/>
    </xf>
    <xf numFmtId="169" fontId="16" fillId="5" borderId="2" xfId="0" applyNumberFormat="1" applyFont="1" applyFill="1" applyBorder="1" applyAlignment="1">
      <alignment vertical="center"/>
    </xf>
    <xf numFmtId="169" fontId="16" fillId="5" borderId="2" xfId="0" applyNumberFormat="1" applyFont="1" applyFill="1" applyBorder="1" applyAlignment="1">
      <alignment horizontal="center" vertical="center" wrapText="1"/>
    </xf>
    <xf numFmtId="172" fontId="16" fillId="5" borderId="2" xfId="0" applyNumberFormat="1" applyFont="1" applyFill="1" applyBorder="1" applyAlignment="1">
      <alignment horizontal="right" vertical="center"/>
    </xf>
    <xf numFmtId="172" fontId="15" fillId="0" borderId="2" xfId="0" applyNumberFormat="1" applyFont="1" applyFill="1" applyBorder="1" applyAlignment="1">
      <alignment vertical="center"/>
    </xf>
    <xf numFmtId="0" fontId="18" fillId="4" borderId="2" xfId="0" applyNumberFormat="1" applyFont="1" applyFill="1" applyBorder="1" applyAlignment="1">
      <alignment vertical="center"/>
    </xf>
    <xf numFmtId="22" fontId="18" fillId="4" borderId="2" xfId="0" applyNumberFormat="1" applyFont="1" applyFill="1" applyBorder="1" applyAlignment="1">
      <alignment horizontal="right" vertical="center"/>
    </xf>
    <xf numFmtId="0" fontId="18" fillId="4" borderId="2" xfId="0" applyFont="1" applyFill="1" applyBorder="1" applyAlignment="1">
      <alignment horizontal="right" vertical="center"/>
    </xf>
    <xf numFmtId="0" fontId="18" fillId="4" borderId="2" xfId="0" applyFont="1" applyFill="1" applyBorder="1" applyAlignment="1">
      <alignment vertical="center"/>
    </xf>
    <xf numFmtId="0" fontId="19" fillId="0" borderId="2" xfId="0" applyNumberFormat="1" applyFont="1" applyFill="1" applyBorder="1" applyAlignment="1">
      <alignment vertical="center"/>
    </xf>
    <xf numFmtId="22" fontId="19" fillId="0" borderId="2" xfId="0" applyNumberFormat="1" applyFont="1" applyFill="1" applyBorder="1" applyAlignment="1">
      <alignment horizontal="right" vertical="center"/>
    </xf>
    <xf numFmtId="165" fontId="19" fillId="0" borderId="2" xfId="0" applyNumberFormat="1" applyFont="1" applyFill="1" applyBorder="1" applyAlignment="1">
      <alignment horizontal="right" vertical="center"/>
    </xf>
    <xf numFmtId="169" fontId="19" fillId="0" borderId="2" xfId="0" applyNumberFormat="1" applyFont="1" applyFill="1" applyBorder="1" applyAlignment="1">
      <alignment horizontal="right" vertical="center"/>
    </xf>
    <xf numFmtId="166" fontId="19" fillId="0" borderId="2" xfId="0" applyNumberFormat="1" applyFont="1" applyFill="1" applyBorder="1" applyAlignment="1">
      <alignment vertical="center"/>
    </xf>
    <xf numFmtId="169" fontId="18" fillId="4" borderId="2" xfId="0" applyNumberFormat="1" applyFont="1" applyFill="1" applyBorder="1" applyAlignment="1">
      <alignment horizontal="right" vertical="center"/>
    </xf>
    <xf numFmtId="0" fontId="19" fillId="0" borderId="2" xfId="0" applyFont="1" applyBorder="1" applyAlignment="1">
      <alignment vertical="center"/>
    </xf>
    <xf numFmtId="22" fontId="19" fillId="0" borderId="2" xfId="0" applyNumberFormat="1" applyFont="1" applyBorder="1" applyAlignment="1">
      <alignment horizontal="right" vertical="center"/>
    </xf>
    <xf numFmtId="169" fontId="19" fillId="0" borderId="2" xfId="0" applyNumberFormat="1" applyFont="1" applyBorder="1" applyAlignment="1">
      <alignment horizontal="right" vertical="center"/>
    </xf>
    <xf numFmtId="165" fontId="27" fillId="0" borderId="0" xfId="0" applyNumberFormat="1" applyFont="1" applyFill="1" applyAlignment="1">
      <alignment vertical="center"/>
    </xf>
    <xf numFmtId="166" fontId="16" fillId="4" borderId="2" xfId="0" applyNumberFormat="1" applyFont="1" applyFill="1" applyBorder="1" applyAlignment="1">
      <alignment horizontal="right" vertical="center"/>
    </xf>
    <xf numFmtId="166" fontId="15" fillId="0" borderId="2" xfId="0" applyNumberFormat="1" applyFont="1" applyFill="1" applyBorder="1" applyAlignment="1">
      <alignment vertical="center"/>
    </xf>
    <xf numFmtId="0" fontId="19" fillId="7" borderId="0" xfId="0" applyFont="1" applyFill="1" applyBorder="1" applyAlignment="1">
      <alignment vertical="center"/>
    </xf>
    <xf numFmtId="0" fontId="19" fillId="0" borderId="0" xfId="0" applyFont="1" applyBorder="1" applyAlignment="1">
      <alignment horizontal="right" vertical="center"/>
    </xf>
    <xf numFmtId="0" fontId="4" fillId="0" borderId="0" xfId="0" applyFont="1" applyAlignment="1">
      <alignment horizontal="right"/>
    </xf>
    <xf numFmtId="0" fontId="19" fillId="0" borderId="2" xfId="0" applyFont="1" applyBorder="1" applyAlignment="1">
      <alignment horizontal="right" vertical="center"/>
    </xf>
    <xf numFmtId="169" fontId="19" fillId="0" borderId="2" xfId="0" applyNumberFormat="1" applyFont="1" applyFill="1" applyBorder="1" applyAlignment="1">
      <alignment vertical="center"/>
    </xf>
    <xf numFmtId="22" fontId="27" fillId="0" borderId="0" xfId="0" applyNumberFormat="1" applyFont="1" applyFill="1" applyAlignment="1">
      <alignment horizontal="center" vertical="center"/>
    </xf>
    <xf numFmtId="22" fontId="27" fillId="0" borderId="0" xfId="0" quotePrefix="1" applyNumberFormat="1" applyFont="1" applyFill="1" applyAlignment="1">
      <alignment horizontal="center" vertical="center"/>
    </xf>
    <xf numFmtId="0" fontId="4" fillId="0" borderId="3" xfId="0" applyFont="1" applyFill="1" applyBorder="1" applyAlignment="1">
      <alignment vertical="center"/>
    </xf>
    <xf numFmtId="169" fontId="12" fillId="0" borderId="3" xfId="1" applyNumberFormat="1" applyFont="1" applyFill="1" applyBorder="1" applyAlignment="1">
      <alignment horizontal="right" vertical="center"/>
    </xf>
    <xf numFmtId="165" fontId="4" fillId="0" borderId="3" xfId="0" applyNumberFormat="1" applyFont="1" applyFill="1" applyBorder="1" applyAlignment="1">
      <alignment horizontal="center" vertical="center"/>
    </xf>
    <xf numFmtId="169" fontId="13" fillId="0" borderId="3" xfId="3" applyNumberFormat="1" applyFont="1" applyFill="1" applyBorder="1" applyAlignment="1">
      <alignment horizontal="right" vertical="center"/>
    </xf>
    <xf numFmtId="165" fontId="9" fillId="0" borderId="3" xfId="1" applyNumberFormat="1" applyFont="1" applyFill="1" applyBorder="1" applyAlignment="1">
      <alignment vertical="center"/>
    </xf>
    <xf numFmtId="169" fontId="14" fillId="0" borderId="3" xfId="0" applyNumberFormat="1" applyFont="1" applyFill="1" applyBorder="1" applyAlignment="1">
      <alignment horizontal="right" vertical="center"/>
    </xf>
    <xf numFmtId="165" fontId="14" fillId="0" borderId="3" xfId="0" applyNumberFormat="1" applyFont="1" applyFill="1" applyBorder="1" applyAlignment="1">
      <alignment horizontal="right" vertical="center"/>
    </xf>
    <xf numFmtId="10" fontId="30" fillId="0" borderId="3" xfId="0" applyNumberFormat="1" applyFont="1" applyFill="1" applyBorder="1" applyAlignment="1">
      <alignment horizontal="right" vertical="center"/>
    </xf>
    <xf numFmtId="10" fontId="4" fillId="0" borderId="3" xfId="0" applyNumberFormat="1" applyFont="1" applyFill="1" applyBorder="1" applyAlignment="1">
      <alignment horizontal="left" vertical="center"/>
    </xf>
    <xf numFmtId="165" fontId="29" fillId="0" borderId="3" xfId="1" applyNumberFormat="1" applyFont="1" applyFill="1" applyBorder="1" applyAlignment="1">
      <alignment horizontal="right" vertical="center"/>
    </xf>
    <xf numFmtId="10" fontId="9" fillId="0" borderId="3" xfId="1" applyNumberFormat="1" applyFont="1" applyFill="1" applyBorder="1" applyAlignment="1">
      <alignment horizontal="right" vertical="center"/>
    </xf>
    <xf numFmtId="10" fontId="31" fillId="0" borderId="3" xfId="1" applyNumberFormat="1" applyFont="1" applyFill="1" applyBorder="1" applyAlignment="1">
      <alignment horizontal="right" vertical="center"/>
    </xf>
    <xf numFmtId="165" fontId="14" fillId="0" borderId="3" xfId="1" applyNumberFormat="1" applyFont="1" applyFill="1" applyBorder="1" applyAlignment="1">
      <alignment vertical="center"/>
    </xf>
    <xf numFmtId="169" fontId="14" fillId="0" borderId="3" xfId="1" applyNumberFormat="1" applyFont="1" applyFill="1" applyBorder="1" applyAlignment="1">
      <alignment horizontal="right" vertical="center"/>
    </xf>
    <xf numFmtId="169" fontId="9" fillId="0" borderId="3" xfId="1" applyNumberFormat="1" applyFont="1" applyFill="1" applyBorder="1" applyAlignment="1">
      <alignment vertical="center"/>
    </xf>
    <xf numFmtId="22" fontId="11" fillId="0" borderId="3" xfId="0" applyNumberFormat="1" applyFont="1" applyFill="1" applyBorder="1" applyAlignment="1">
      <alignment vertical="center"/>
    </xf>
    <xf numFmtId="0" fontId="4" fillId="0" borderId="3" xfId="0" applyFont="1" applyFill="1" applyBorder="1" applyAlignment="1">
      <alignment horizontal="left" vertical="center"/>
    </xf>
    <xf numFmtId="168" fontId="13" fillId="0" borderId="3" xfId="3" applyNumberFormat="1" applyFont="1" applyFill="1" applyBorder="1" applyAlignment="1">
      <alignment horizontal="right" vertical="center"/>
    </xf>
    <xf numFmtId="168" fontId="9" fillId="0" borderId="3" xfId="1" applyNumberFormat="1" applyFont="1" applyFill="1" applyBorder="1" applyAlignment="1">
      <alignment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3" xfId="2" applyFont="1" applyFill="1" applyBorder="1" applyAlignment="1">
      <alignment vertical="center"/>
    </xf>
    <xf numFmtId="0" fontId="4" fillId="0" borderId="3" xfId="2" applyFont="1" applyFill="1" applyBorder="1" applyAlignment="1">
      <alignment horizontal="left" vertical="center"/>
    </xf>
    <xf numFmtId="165" fontId="4" fillId="0" borderId="3" xfId="2" applyNumberFormat="1" applyFont="1" applyFill="1" applyBorder="1" applyAlignment="1">
      <alignment horizontal="left" vertical="center"/>
    </xf>
    <xf numFmtId="10" fontId="4" fillId="0" borderId="3" xfId="2" applyNumberFormat="1" applyFont="1" applyFill="1" applyBorder="1" applyAlignment="1">
      <alignment horizontal="left" vertical="center"/>
    </xf>
    <xf numFmtId="10" fontId="4" fillId="0" borderId="3" xfId="0" applyNumberFormat="1" applyFont="1" applyFill="1" applyBorder="1" applyAlignment="1">
      <alignment horizontal="right" vertical="center"/>
    </xf>
    <xf numFmtId="165" fontId="4" fillId="0" borderId="3" xfId="0" applyNumberFormat="1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right" vertical="center"/>
    </xf>
    <xf numFmtId="22" fontId="4" fillId="0" borderId="3" xfId="0" applyNumberFormat="1" applyFont="1" applyFill="1" applyBorder="1" applyAlignment="1">
      <alignment horizontal="center" vertical="center"/>
    </xf>
    <xf numFmtId="22" fontId="4" fillId="0" borderId="3" xfId="0" applyNumberFormat="1" applyFont="1" applyFill="1" applyBorder="1" applyAlignment="1">
      <alignment vertical="center"/>
    </xf>
    <xf numFmtId="0" fontId="9" fillId="0" borderId="3" xfId="1" applyFont="1" applyFill="1" applyBorder="1" applyAlignment="1">
      <alignment horizontal="center" vertical="center"/>
    </xf>
    <xf numFmtId="165" fontId="4" fillId="0" borderId="3" xfId="0" applyNumberFormat="1" applyFont="1" applyFill="1" applyBorder="1" applyAlignment="1">
      <alignment horizontal="left" vertical="center"/>
    </xf>
    <xf numFmtId="0" fontId="4" fillId="0" borderId="3" xfId="0" quotePrefix="1" applyFont="1" applyFill="1" applyBorder="1" applyAlignment="1">
      <alignment vertical="center"/>
    </xf>
    <xf numFmtId="22" fontId="4" fillId="0" borderId="3" xfId="0" quotePrefix="1" applyNumberFormat="1" applyFont="1" applyFill="1" applyBorder="1" applyAlignment="1">
      <alignment vertical="center"/>
    </xf>
    <xf numFmtId="22" fontId="4" fillId="0" borderId="3" xfId="0" applyNumberFormat="1" applyFont="1" applyFill="1" applyBorder="1" applyAlignment="1">
      <alignment horizontal="right" vertical="center"/>
    </xf>
    <xf numFmtId="0" fontId="4" fillId="0" borderId="7" xfId="0" applyFont="1" applyFill="1" applyBorder="1" applyAlignment="1">
      <alignment vertical="center"/>
    </xf>
    <xf numFmtId="0" fontId="4" fillId="0" borderId="8" xfId="0" applyFont="1" applyFill="1" applyBorder="1" applyAlignment="1">
      <alignment vertical="center"/>
    </xf>
    <xf numFmtId="0" fontId="4" fillId="0" borderId="10" xfId="0" applyFont="1" applyFill="1" applyBorder="1" applyAlignment="1">
      <alignment vertical="center"/>
    </xf>
    <xf numFmtId="165" fontId="4" fillId="0" borderId="10" xfId="0" applyNumberFormat="1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vertical="center"/>
    </xf>
    <xf numFmtId="169" fontId="12" fillId="0" borderId="12" xfId="1" applyNumberFormat="1" applyFont="1" applyFill="1" applyBorder="1" applyAlignment="1">
      <alignment horizontal="right" vertical="center"/>
    </xf>
    <xf numFmtId="165" fontId="4" fillId="0" borderId="12" xfId="0" applyNumberFormat="1" applyFont="1" applyFill="1" applyBorder="1" applyAlignment="1">
      <alignment horizontal="center" vertical="center"/>
    </xf>
    <xf numFmtId="169" fontId="13" fillId="0" borderId="12" xfId="3" applyNumberFormat="1" applyFont="1" applyFill="1" applyBorder="1" applyAlignment="1">
      <alignment horizontal="right" vertical="center"/>
    </xf>
    <xf numFmtId="165" fontId="9" fillId="0" borderId="12" xfId="1" applyNumberFormat="1" applyFont="1" applyFill="1" applyBorder="1" applyAlignment="1">
      <alignment vertical="center"/>
    </xf>
    <xf numFmtId="169" fontId="14" fillId="0" borderId="12" xfId="0" applyNumberFormat="1" applyFont="1" applyFill="1" applyBorder="1" applyAlignment="1">
      <alignment horizontal="right" vertical="center"/>
    </xf>
    <xf numFmtId="165" fontId="14" fillId="0" borderId="12" xfId="0" applyNumberFormat="1" applyFont="1" applyFill="1" applyBorder="1" applyAlignment="1">
      <alignment horizontal="right" vertical="center"/>
    </xf>
    <xf numFmtId="10" fontId="30" fillId="0" borderId="12" xfId="0" applyNumberFormat="1" applyFont="1" applyFill="1" applyBorder="1" applyAlignment="1">
      <alignment horizontal="right" vertical="center"/>
    </xf>
    <xf numFmtId="10" fontId="4" fillId="0" borderId="12" xfId="0" applyNumberFormat="1" applyFont="1" applyFill="1" applyBorder="1" applyAlignment="1">
      <alignment horizontal="left" vertical="center"/>
    </xf>
    <xf numFmtId="165" fontId="29" fillId="0" borderId="12" xfId="1" applyNumberFormat="1" applyFont="1" applyFill="1" applyBorder="1" applyAlignment="1">
      <alignment horizontal="right" vertical="center"/>
    </xf>
    <xf numFmtId="10" fontId="9" fillId="0" borderId="12" xfId="1" applyNumberFormat="1" applyFont="1" applyFill="1" applyBorder="1" applyAlignment="1">
      <alignment horizontal="right" vertical="center"/>
    </xf>
    <xf numFmtId="10" fontId="31" fillId="0" borderId="12" xfId="1" applyNumberFormat="1" applyFont="1" applyFill="1" applyBorder="1" applyAlignment="1">
      <alignment horizontal="right" vertical="center"/>
    </xf>
    <xf numFmtId="165" fontId="14" fillId="0" borderId="12" xfId="1" applyNumberFormat="1" applyFont="1" applyFill="1" applyBorder="1" applyAlignment="1">
      <alignment vertical="center"/>
    </xf>
    <xf numFmtId="169" fontId="14" fillId="0" borderId="12" xfId="1" applyNumberFormat="1" applyFont="1" applyFill="1" applyBorder="1" applyAlignment="1">
      <alignment horizontal="right" vertical="center"/>
    </xf>
    <xf numFmtId="169" fontId="9" fillId="0" borderId="12" xfId="1" applyNumberFormat="1" applyFont="1" applyFill="1" applyBorder="1" applyAlignment="1">
      <alignment vertical="center"/>
    </xf>
    <xf numFmtId="22" fontId="11" fillId="0" borderId="12" xfId="0" applyNumberFormat="1" applyFont="1" applyFill="1" applyBorder="1" applyAlignment="1">
      <alignment vertical="center"/>
    </xf>
    <xf numFmtId="169" fontId="28" fillId="0" borderId="13" xfId="1" applyNumberFormat="1" applyFont="1" applyFill="1" applyBorder="1" applyAlignment="1">
      <alignment vertical="center"/>
    </xf>
    <xf numFmtId="169" fontId="28" fillId="0" borderId="15" xfId="1" applyNumberFormat="1" applyFont="1" applyFill="1" applyBorder="1" applyAlignment="1">
      <alignment vertical="center"/>
    </xf>
    <xf numFmtId="0" fontId="4" fillId="0" borderId="17" xfId="0" applyFont="1" applyFill="1" applyBorder="1" applyAlignment="1">
      <alignment vertical="center"/>
    </xf>
    <xf numFmtId="169" fontId="12" fillId="0" borderId="17" xfId="1" applyNumberFormat="1" applyFont="1" applyFill="1" applyBorder="1" applyAlignment="1">
      <alignment horizontal="right" vertical="center"/>
    </xf>
    <xf numFmtId="165" fontId="4" fillId="0" borderId="17" xfId="0" applyNumberFormat="1" applyFont="1" applyFill="1" applyBorder="1" applyAlignment="1">
      <alignment horizontal="center" vertical="center"/>
    </xf>
    <xf numFmtId="169" fontId="13" fillId="0" borderId="17" xfId="3" applyNumberFormat="1" applyFont="1" applyFill="1" applyBorder="1" applyAlignment="1">
      <alignment horizontal="right" vertical="center"/>
    </xf>
    <xf numFmtId="165" fontId="9" fillId="0" borderId="17" xfId="1" applyNumberFormat="1" applyFont="1" applyFill="1" applyBorder="1" applyAlignment="1">
      <alignment vertical="center"/>
    </xf>
    <xf numFmtId="169" fontId="14" fillId="0" borderId="17" xfId="0" applyNumberFormat="1" applyFont="1" applyFill="1" applyBorder="1" applyAlignment="1">
      <alignment horizontal="right" vertical="center"/>
    </xf>
    <xf numFmtId="165" fontId="14" fillId="0" borderId="17" xfId="0" applyNumberFormat="1" applyFont="1" applyFill="1" applyBorder="1" applyAlignment="1">
      <alignment horizontal="right" vertical="center"/>
    </xf>
    <xf numFmtId="10" fontId="30" fillId="0" borderId="17" xfId="0" applyNumberFormat="1" applyFont="1" applyFill="1" applyBorder="1" applyAlignment="1">
      <alignment horizontal="right" vertical="center"/>
    </xf>
    <xf numFmtId="10" fontId="4" fillId="0" borderId="17" xfId="0" applyNumberFormat="1" applyFont="1" applyFill="1" applyBorder="1" applyAlignment="1">
      <alignment horizontal="left" vertical="center"/>
    </xf>
    <xf numFmtId="165" fontId="29" fillId="0" borderId="17" xfId="1" applyNumberFormat="1" applyFont="1" applyFill="1" applyBorder="1" applyAlignment="1">
      <alignment horizontal="right" vertical="center"/>
    </xf>
    <xf numFmtId="10" fontId="9" fillId="0" borderId="17" xfId="1" applyNumberFormat="1" applyFont="1" applyFill="1" applyBorder="1" applyAlignment="1">
      <alignment horizontal="right" vertical="center"/>
    </xf>
    <xf numFmtId="10" fontId="31" fillId="0" borderId="17" xfId="1" applyNumberFormat="1" applyFont="1" applyFill="1" applyBorder="1" applyAlignment="1">
      <alignment horizontal="right" vertical="center"/>
    </xf>
    <xf numFmtId="165" fontId="14" fillId="0" borderId="17" xfId="1" applyNumberFormat="1" applyFont="1" applyFill="1" applyBorder="1" applyAlignment="1">
      <alignment vertical="center"/>
    </xf>
    <xf numFmtId="169" fontId="14" fillId="0" borderId="17" xfId="1" applyNumberFormat="1" applyFont="1" applyFill="1" applyBorder="1" applyAlignment="1">
      <alignment horizontal="right" vertical="center"/>
    </xf>
    <xf numFmtId="169" fontId="9" fillId="0" borderId="17" xfId="1" applyNumberFormat="1" applyFont="1" applyFill="1" applyBorder="1" applyAlignment="1">
      <alignment vertical="center"/>
    </xf>
    <xf numFmtId="22" fontId="11" fillId="0" borderId="17" xfId="0" applyNumberFormat="1" applyFont="1" applyFill="1" applyBorder="1" applyAlignment="1">
      <alignment vertical="center"/>
    </xf>
    <xf numFmtId="169" fontId="28" fillId="0" borderId="18" xfId="1" applyNumberFormat="1" applyFont="1" applyFill="1" applyBorder="1" applyAlignment="1">
      <alignment vertical="center"/>
    </xf>
    <xf numFmtId="168" fontId="13" fillId="0" borderId="12" xfId="3" applyNumberFormat="1" applyFont="1" applyFill="1" applyBorder="1" applyAlignment="1">
      <alignment horizontal="right" vertical="center"/>
    </xf>
    <xf numFmtId="168" fontId="9" fillId="0" borderId="12" xfId="1" applyNumberFormat="1" applyFont="1" applyFill="1" applyBorder="1" applyAlignment="1">
      <alignment vertical="center"/>
    </xf>
    <xf numFmtId="168" fontId="13" fillId="0" borderId="17" xfId="3" applyNumberFormat="1" applyFont="1" applyFill="1" applyBorder="1" applyAlignment="1">
      <alignment horizontal="right" vertical="center"/>
    </xf>
    <xf numFmtId="168" fontId="9" fillId="0" borderId="17" xfId="1" applyNumberFormat="1" applyFont="1" applyFill="1" applyBorder="1" applyAlignment="1">
      <alignment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0" xfId="2" applyFont="1" applyFill="1" applyBorder="1" applyAlignment="1">
      <alignment vertical="center"/>
    </xf>
    <xf numFmtId="0" fontId="4" fillId="0" borderId="10" xfId="0" applyFont="1" applyFill="1" applyBorder="1" applyAlignment="1">
      <alignment horizontal="left" vertical="center"/>
    </xf>
    <xf numFmtId="0" fontId="4" fillId="0" borderId="10" xfId="2" applyFont="1" applyFill="1" applyBorder="1" applyAlignment="1">
      <alignment horizontal="left" vertical="center"/>
    </xf>
    <xf numFmtId="165" fontId="4" fillId="0" borderId="10" xfId="2" applyNumberFormat="1" applyFont="1" applyFill="1" applyBorder="1" applyAlignment="1">
      <alignment horizontal="left" vertical="center"/>
    </xf>
    <xf numFmtId="10" fontId="4" fillId="0" borderId="10" xfId="2" applyNumberFormat="1" applyFont="1" applyFill="1" applyBorder="1" applyAlignment="1">
      <alignment horizontal="left" vertical="center"/>
    </xf>
    <xf numFmtId="10" fontId="4" fillId="0" borderId="10" xfId="0" applyNumberFormat="1" applyFont="1" applyFill="1" applyBorder="1" applyAlignment="1">
      <alignment horizontal="right" vertical="center"/>
    </xf>
    <xf numFmtId="165" fontId="4" fillId="0" borderId="10" xfId="0" applyNumberFormat="1" applyFont="1" applyFill="1" applyBorder="1" applyAlignment="1">
      <alignment horizontal="right" vertical="center"/>
    </xf>
    <xf numFmtId="0" fontId="4" fillId="0" borderId="10" xfId="0" applyFont="1" applyFill="1" applyBorder="1" applyAlignment="1">
      <alignment horizontal="right" vertical="center"/>
    </xf>
    <xf numFmtId="22" fontId="4" fillId="0" borderId="10" xfId="0" applyNumberFormat="1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left" vertical="center"/>
    </xf>
    <xf numFmtId="165" fontId="4" fillId="0" borderId="8" xfId="0" applyNumberFormat="1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vertical="center"/>
    </xf>
    <xf numFmtId="0" fontId="4" fillId="0" borderId="19" xfId="2" applyFont="1" applyFill="1" applyBorder="1" applyAlignment="1">
      <alignment horizontal="right" vertical="center"/>
    </xf>
    <xf numFmtId="0" fontId="4" fillId="0" borderId="11" xfId="0" applyFont="1" applyFill="1" applyBorder="1" applyAlignment="1">
      <alignment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9" fillId="0" borderId="15" xfId="1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10" fillId="0" borderId="17" xfId="3" applyFont="1" applyFill="1" applyBorder="1" applyAlignment="1">
      <alignment horizontal="center" vertical="center"/>
    </xf>
    <xf numFmtId="0" fontId="10" fillId="0" borderId="18" xfId="3" applyFont="1" applyFill="1" applyBorder="1" applyAlignment="1">
      <alignment horizontal="center" vertical="center"/>
    </xf>
    <xf numFmtId="1" fontId="4" fillId="0" borderId="25" xfId="0" applyNumberFormat="1" applyFont="1" applyFill="1" applyBorder="1" applyAlignment="1">
      <alignment horizontal="center" vertical="center"/>
    </xf>
    <xf numFmtId="1" fontId="4" fillId="0" borderId="8" xfId="0" applyNumberFormat="1" applyFont="1" applyFill="1" applyBorder="1" applyAlignment="1">
      <alignment horizontal="center" vertical="center"/>
    </xf>
    <xf numFmtId="1" fontId="4" fillId="0" borderId="26" xfId="0" applyNumberFormat="1" applyFont="1" applyFill="1" applyBorder="1" applyAlignment="1">
      <alignment horizontal="center" vertical="center"/>
    </xf>
    <xf numFmtId="0" fontId="8" fillId="0" borderId="7" xfId="2" applyFont="1" applyFill="1" applyBorder="1" applyAlignment="1">
      <alignment vertical="center"/>
    </xf>
    <xf numFmtId="1" fontId="4" fillId="0" borderId="21" xfId="0" applyNumberFormat="1" applyFont="1" applyFill="1" applyBorder="1" applyAlignment="1">
      <alignment horizontal="center" vertical="center"/>
    </xf>
    <xf numFmtId="169" fontId="12" fillId="0" borderId="10" xfId="1" applyNumberFormat="1" applyFont="1" applyFill="1" applyBorder="1" applyAlignment="1">
      <alignment horizontal="right" vertical="center"/>
    </xf>
    <xf numFmtId="169" fontId="13" fillId="0" borderId="10" xfId="3" applyNumberFormat="1" applyFont="1" applyFill="1" applyBorder="1" applyAlignment="1">
      <alignment horizontal="right" vertical="center"/>
    </xf>
    <xf numFmtId="165" fontId="9" fillId="0" borderId="10" xfId="1" applyNumberFormat="1" applyFont="1" applyFill="1" applyBorder="1" applyAlignment="1">
      <alignment vertical="center"/>
    </xf>
    <xf numFmtId="169" fontId="14" fillId="0" borderId="10" xfId="0" applyNumberFormat="1" applyFont="1" applyFill="1" applyBorder="1" applyAlignment="1">
      <alignment horizontal="right" vertical="center"/>
    </xf>
    <xf numFmtId="165" fontId="14" fillId="0" borderId="10" xfId="0" applyNumberFormat="1" applyFont="1" applyFill="1" applyBorder="1" applyAlignment="1">
      <alignment horizontal="right" vertical="center"/>
    </xf>
    <xf numFmtId="10" fontId="30" fillId="0" borderId="10" xfId="0" applyNumberFormat="1" applyFont="1" applyFill="1" applyBorder="1" applyAlignment="1">
      <alignment horizontal="right" vertical="center"/>
    </xf>
    <xf numFmtId="10" fontId="4" fillId="0" borderId="10" xfId="0" applyNumberFormat="1" applyFont="1" applyFill="1" applyBorder="1" applyAlignment="1">
      <alignment horizontal="left" vertical="center"/>
    </xf>
    <xf numFmtId="165" fontId="29" fillId="0" borderId="10" xfId="1" applyNumberFormat="1" applyFont="1" applyFill="1" applyBorder="1" applyAlignment="1">
      <alignment horizontal="right" vertical="center"/>
    </xf>
    <xf numFmtId="10" fontId="9" fillId="0" borderId="10" xfId="1" applyNumberFormat="1" applyFont="1" applyFill="1" applyBorder="1" applyAlignment="1">
      <alignment horizontal="right" vertical="center"/>
    </xf>
    <xf numFmtId="10" fontId="31" fillId="0" borderId="10" xfId="1" applyNumberFormat="1" applyFont="1" applyFill="1" applyBorder="1" applyAlignment="1">
      <alignment horizontal="right" vertical="center"/>
    </xf>
    <xf numFmtId="165" fontId="14" fillId="0" borderId="10" xfId="1" applyNumberFormat="1" applyFont="1" applyFill="1" applyBorder="1" applyAlignment="1">
      <alignment vertical="center"/>
    </xf>
    <xf numFmtId="169" fontId="14" fillId="0" borderId="10" xfId="1" applyNumberFormat="1" applyFont="1" applyFill="1" applyBorder="1" applyAlignment="1">
      <alignment horizontal="right" vertical="center"/>
    </xf>
    <xf numFmtId="169" fontId="9" fillId="0" borderId="10" xfId="1" applyNumberFormat="1" applyFont="1" applyFill="1" applyBorder="1" applyAlignment="1">
      <alignment vertical="center"/>
    </xf>
    <xf numFmtId="22" fontId="11" fillId="0" borderId="10" xfId="0" applyNumberFormat="1" applyFont="1" applyFill="1" applyBorder="1" applyAlignment="1">
      <alignment vertical="center"/>
    </xf>
    <xf numFmtId="169" fontId="28" fillId="0" borderId="28" xfId="1" applyNumberFormat="1" applyFont="1" applyFill="1" applyBorder="1" applyAlignment="1">
      <alignment vertical="center"/>
    </xf>
    <xf numFmtId="0" fontId="4" fillId="16" borderId="35" xfId="0" applyFont="1" applyFill="1" applyBorder="1" applyAlignment="1">
      <alignment vertical="center"/>
    </xf>
    <xf numFmtId="0" fontId="4" fillId="16" borderId="35" xfId="0" applyFont="1" applyFill="1" applyBorder="1" applyAlignment="1">
      <alignment horizontal="right" vertical="center"/>
    </xf>
    <xf numFmtId="165" fontId="4" fillId="16" borderId="35" xfId="0" applyNumberFormat="1" applyFont="1" applyFill="1" applyBorder="1" applyAlignment="1">
      <alignment vertical="center"/>
    </xf>
    <xf numFmtId="165" fontId="4" fillId="16" borderId="35" xfId="0" applyNumberFormat="1" applyFont="1" applyFill="1" applyBorder="1" applyAlignment="1">
      <alignment horizontal="center" vertical="center"/>
    </xf>
    <xf numFmtId="22" fontId="4" fillId="16" borderId="35" xfId="0" applyNumberFormat="1" applyFont="1" applyFill="1" applyBorder="1" applyAlignment="1">
      <alignment horizontal="right" vertical="center"/>
    </xf>
    <xf numFmtId="0" fontId="4" fillId="16" borderId="36" xfId="0" applyFont="1" applyFill="1" applyBorder="1" applyAlignment="1">
      <alignment horizontal="right" vertical="center"/>
    </xf>
    <xf numFmtId="22" fontId="19" fillId="0" borderId="0" xfId="0" applyNumberFormat="1" applyFont="1" applyFill="1" applyBorder="1" applyAlignment="1">
      <alignment vertical="center"/>
    </xf>
    <xf numFmtId="20" fontId="19" fillId="0" borderId="0" xfId="0" applyNumberFormat="1" applyFont="1" applyFill="1" applyBorder="1" applyAlignment="1">
      <alignment vertical="center"/>
    </xf>
    <xf numFmtId="22" fontId="19" fillId="0" borderId="2" xfId="0" applyNumberFormat="1" applyFont="1" applyFill="1" applyBorder="1" applyAlignment="1">
      <alignment vertical="center"/>
    </xf>
    <xf numFmtId="0" fontId="33" fillId="0" borderId="0" xfId="0" applyFont="1"/>
    <xf numFmtId="0" fontId="34" fillId="0" borderId="0" xfId="0" applyFont="1"/>
    <xf numFmtId="22" fontId="34" fillId="0" borderId="0" xfId="0" applyNumberFormat="1" applyFont="1"/>
    <xf numFmtId="0" fontId="35" fillId="0" borderId="0" xfId="0" applyFont="1" applyAlignment="1">
      <alignment vertical="center"/>
    </xf>
    <xf numFmtId="0" fontId="35" fillId="7" borderId="0" xfId="0" applyFont="1" applyFill="1" applyAlignment="1">
      <alignment vertical="center"/>
    </xf>
    <xf numFmtId="175" fontId="35" fillId="7" borderId="0" xfId="0" applyNumberFormat="1" applyFont="1" applyFill="1" applyAlignment="1">
      <alignment vertical="center"/>
    </xf>
    <xf numFmtId="0" fontId="35" fillId="5" borderId="0" xfId="0" applyFont="1" applyFill="1" applyAlignment="1">
      <alignment vertical="center"/>
    </xf>
    <xf numFmtId="175" fontId="35" fillId="5" borderId="0" xfId="0" applyNumberFormat="1" applyFont="1" applyFill="1" applyAlignment="1">
      <alignment vertical="center"/>
    </xf>
    <xf numFmtId="20" fontId="35" fillId="5" borderId="0" xfId="0" applyNumberFormat="1" applyFont="1" applyFill="1" applyAlignment="1">
      <alignment vertical="center"/>
    </xf>
    <xf numFmtId="175" fontId="35" fillId="18" borderId="0" xfId="0" applyNumberFormat="1" applyFont="1" applyFill="1" applyAlignment="1">
      <alignment vertical="center"/>
    </xf>
    <xf numFmtId="0" fontId="34" fillId="19" borderId="0" xfId="0" applyFont="1" applyFill="1"/>
    <xf numFmtId="0" fontId="36" fillId="5" borderId="0" xfId="0" applyFont="1" applyFill="1" applyAlignment="1">
      <alignment vertical="center"/>
    </xf>
    <xf numFmtId="0" fontId="36" fillId="18" borderId="0" xfId="0" applyFont="1" applyFill="1" applyAlignment="1">
      <alignment vertical="center"/>
    </xf>
    <xf numFmtId="175" fontId="36" fillId="5" borderId="0" xfId="0" applyNumberFormat="1" applyFont="1" applyFill="1" applyAlignment="1">
      <alignment vertical="center"/>
    </xf>
    <xf numFmtId="0" fontId="34" fillId="0" borderId="0" xfId="0" applyFont="1" applyFill="1"/>
    <xf numFmtId="175" fontId="36" fillId="0" borderId="0" xfId="0" applyNumberFormat="1" applyFont="1" applyFill="1" applyAlignment="1">
      <alignment vertical="center"/>
    </xf>
    <xf numFmtId="175" fontId="35" fillId="0" borderId="0" xfId="0" applyNumberFormat="1" applyFont="1" applyFill="1" applyAlignment="1">
      <alignment vertical="center"/>
    </xf>
    <xf numFmtId="20" fontId="35" fillId="0" borderId="0" xfId="0" applyNumberFormat="1" applyFont="1" applyFill="1" applyAlignment="1">
      <alignment vertical="center"/>
    </xf>
    <xf numFmtId="22" fontId="34" fillId="0" borderId="0" xfId="0" applyNumberFormat="1" applyFont="1" applyFill="1"/>
    <xf numFmtId="0" fontId="33" fillId="13" borderId="0" xfId="0" applyFont="1" applyFill="1"/>
    <xf numFmtId="0" fontId="33" fillId="13" borderId="0" xfId="0" applyFont="1" applyFill="1" applyAlignment="1">
      <alignment vertical="center"/>
    </xf>
    <xf numFmtId="0" fontId="33" fillId="0" borderId="0" xfId="0" applyFont="1" applyFill="1"/>
    <xf numFmtId="0" fontId="34" fillId="13" borderId="0" xfId="0" applyFont="1" applyFill="1" applyAlignment="1">
      <alignment horizontal="center"/>
    </xf>
    <xf numFmtId="176" fontId="34" fillId="8" borderId="0" xfId="0" applyNumberFormat="1" applyFont="1" applyFill="1" applyAlignment="1">
      <alignment horizontal="center"/>
    </xf>
    <xf numFmtId="0" fontId="35" fillId="13" borderId="0" xfId="0" applyFont="1" applyFill="1" applyAlignment="1">
      <alignment horizontal="center" vertical="center"/>
    </xf>
    <xf numFmtId="0" fontId="34" fillId="0" borderId="0" xfId="0" applyFont="1" applyFill="1" applyAlignment="1">
      <alignment horizontal="center"/>
    </xf>
    <xf numFmtId="0" fontId="34" fillId="0" borderId="0" xfId="0" applyFont="1" applyAlignment="1">
      <alignment horizontal="center"/>
    </xf>
    <xf numFmtId="176" fontId="35" fillId="8" borderId="0" xfId="0" applyNumberFormat="1" applyFont="1" applyFill="1" applyAlignment="1">
      <alignment horizontal="center" vertical="center"/>
    </xf>
    <xf numFmtId="176" fontId="34" fillId="0" borderId="0" xfId="0" applyNumberFormat="1" applyFont="1" applyFill="1" applyAlignment="1">
      <alignment horizontal="center"/>
    </xf>
    <xf numFmtId="176" fontId="34" fillId="0" borderId="0" xfId="0" applyNumberFormat="1" applyFont="1" applyAlignment="1">
      <alignment horizontal="center"/>
    </xf>
    <xf numFmtId="0" fontId="5" fillId="7" borderId="22" xfId="0" applyFont="1" applyFill="1" applyBorder="1" applyAlignment="1">
      <alignment horizontal="center" vertical="center" textRotation="90"/>
    </xf>
    <xf numFmtId="0" fontId="5" fillId="7" borderId="23" xfId="0" applyFont="1" applyFill="1" applyBorder="1" applyAlignment="1">
      <alignment horizontal="center" vertical="center" textRotation="90"/>
    </xf>
    <xf numFmtId="0" fontId="5" fillId="7" borderId="24" xfId="0" applyFont="1" applyFill="1" applyBorder="1" applyAlignment="1">
      <alignment horizontal="center" vertical="center" textRotation="90"/>
    </xf>
    <xf numFmtId="165" fontId="5" fillId="0" borderId="12" xfId="0" applyNumberFormat="1" applyFont="1" applyFill="1" applyBorder="1" applyAlignment="1">
      <alignment horizontal="center" vertical="center"/>
    </xf>
    <xf numFmtId="165" fontId="5" fillId="0" borderId="3" xfId="0" applyNumberFormat="1" applyFont="1" applyFill="1" applyBorder="1" applyAlignment="1">
      <alignment horizontal="center" vertical="center"/>
    </xf>
    <xf numFmtId="165" fontId="5" fillId="0" borderId="17" xfId="0" applyNumberFormat="1" applyFont="1" applyFill="1" applyBorder="1" applyAlignment="1">
      <alignment horizontal="center" vertical="center"/>
    </xf>
    <xf numFmtId="167" fontId="5" fillId="5" borderId="22" xfId="0" applyNumberFormat="1" applyFont="1" applyFill="1" applyBorder="1" applyAlignment="1">
      <alignment horizontal="center" vertical="center" textRotation="90"/>
    </xf>
    <xf numFmtId="167" fontId="5" fillId="5" borderId="23" xfId="0" applyNumberFormat="1" applyFont="1" applyFill="1" applyBorder="1" applyAlignment="1">
      <alignment horizontal="center" vertical="center" textRotation="90"/>
    </xf>
    <xf numFmtId="167" fontId="5" fillId="5" borderId="24" xfId="0" applyNumberFormat="1" applyFont="1" applyFill="1" applyBorder="1" applyAlignment="1">
      <alignment horizontal="center" vertical="center" textRotation="90"/>
    </xf>
    <xf numFmtId="164" fontId="5" fillId="7" borderId="22" xfId="0" applyNumberFormat="1" applyFont="1" applyFill="1" applyBorder="1" applyAlignment="1">
      <alignment horizontal="center" vertical="center" textRotation="90"/>
    </xf>
    <xf numFmtId="164" fontId="5" fillId="7" borderId="23" xfId="0" applyNumberFormat="1" applyFont="1" applyFill="1" applyBorder="1" applyAlignment="1">
      <alignment horizontal="center" vertical="center" textRotation="90"/>
    </xf>
    <xf numFmtId="164" fontId="5" fillId="7" borderId="24" xfId="0" applyNumberFormat="1" applyFont="1" applyFill="1" applyBorder="1" applyAlignment="1">
      <alignment horizontal="center" vertical="center" textRotation="90"/>
    </xf>
    <xf numFmtId="0" fontId="5" fillId="5" borderId="22" xfId="0" applyFont="1" applyFill="1" applyBorder="1" applyAlignment="1">
      <alignment horizontal="center" vertical="center" textRotation="90"/>
    </xf>
    <xf numFmtId="0" fontId="5" fillId="5" borderId="23" xfId="0" applyFont="1" applyFill="1" applyBorder="1" applyAlignment="1">
      <alignment horizontal="center" vertical="center" textRotation="90"/>
    </xf>
    <xf numFmtId="0" fontId="5" fillId="5" borderId="24" xfId="0" applyFont="1" applyFill="1" applyBorder="1" applyAlignment="1">
      <alignment horizontal="center" vertical="center" textRotation="90"/>
    </xf>
    <xf numFmtId="165" fontId="4" fillId="0" borderId="3" xfId="0" applyNumberFormat="1" applyFont="1" applyFill="1" applyBorder="1" applyAlignment="1">
      <alignment horizontal="center" vertical="center"/>
    </xf>
    <xf numFmtId="165" fontId="4" fillId="16" borderId="35" xfId="0" applyNumberFormat="1" applyFont="1" applyFill="1" applyBorder="1" applyAlignment="1">
      <alignment horizontal="left" vertical="center"/>
    </xf>
    <xf numFmtId="165" fontId="4" fillId="16" borderId="35" xfId="0" applyNumberFormat="1" applyFont="1" applyFill="1" applyBorder="1" applyAlignment="1">
      <alignment horizontal="right" vertical="center"/>
    </xf>
    <xf numFmtId="0" fontId="4" fillId="16" borderId="35" xfId="0" applyFont="1" applyFill="1" applyBorder="1" applyAlignment="1">
      <alignment horizontal="center" vertical="center"/>
    </xf>
    <xf numFmtId="165" fontId="5" fillId="0" borderId="10" xfId="0" applyNumberFormat="1" applyFont="1" applyFill="1" applyBorder="1" applyAlignment="1">
      <alignment horizontal="center" vertical="center"/>
    </xf>
    <xf numFmtId="0" fontId="6" fillId="17" borderId="29" xfId="0" applyFont="1" applyFill="1" applyBorder="1" applyAlignment="1">
      <alignment horizontal="center" vertical="center"/>
    </xf>
    <xf numFmtId="0" fontId="6" fillId="17" borderId="30" xfId="0" applyFont="1" applyFill="1" applyBorder="1" applyAlignment="1">
      <alignment horizontal="center" vertical="center"/>
    </xf>
    <xf numFmtId="0" fontId="6" fillId="17" borderId="31" xfId="0" applyFont="1" applyFill="1" applyBorder="1" applyAlignment="1">
      <alignment horizontal="center" vertical="center"/>
    </xf>
    <xf numFmtId="0" fontId="6" fillId="17" borderId="32" xfId="0" applyFont="1" applyFill="1" applyBorder="1" applyAlignment="1">
      <alignment horizontal="center" vertical="center"/>
    </xf>
    <xf numFmtId="0" fontId="6" fillId="17" borderId="20" xfId="0" applyFont="1" applyFill="1" applyBorder="1" applyAlignment="1">
      <alignment horizontal="center" vertical="center"/>
    </xf>
    <xf numFmtId="0" fontId="6" fillId="17" borderId="33" xfId="0" applyFont="1" applyFill="1" applyBorder="1" applyAlignment="1">
      <alignment horizontal="center" vertical="center"/>
    </xf>
    <xf numFmtId="10" fontId="5" fillId="7" borderId="27" xfId="0" applyNumberFormat="1" applyFont="1" applyFill="1" applyBorder="1" applyAlignment="1">
      <alignment horizontal="center" vertical="center" textRotation="90"/>
    </xf>
    <xf numFmtId="10" fontId="5" fillId="7" borderId="23" xfId="0" applyNumberFormat="1" applyFont="1" applyFill="1" applyBorder="1" applyAlignment="1">
      <alignment horizontal="center" vertical="center" textRotation="90"/>
    </xf>
    <xf numFmtId="10" fontId="5" fillId="7" borderId="24" xfId="0" applyNumberFormat="1" applyFont="1" applyFill="1" applyBorder="1" applyAlignment="1">
      <alignment horizontal="center" vertical="center" textRotation="90"/>
    </xf>
    <xf numFmtId="0" fontId="4" fillId="16" borderId="34" xfId="0" applyFont="1" applyFill="1" applyBorder="1" applyAlignment="1">
      <alignment horizontal="center" vertical="center"/>
    </xf>
    <xf numFmtId="0" fontId="27" fillId="15" borderId="4" xfId="0" applyFont="1" applyFill="1" applyBorder="1" applyAlignment="1">
      <alignment horizontal="center" vertical="center"/>
    </xf>
    <xf numFmtId="0" fontId="27" fillId="15" borderId="5" xfId="0" applyFont="1" applyFill="1" applyBorder="1" applyAlignment="1">
      <alignment horizontal="center" vertical="center"/>
    </xf>
    <xf numFmtId="0" fontId="19" fillId="15" borderId="5" xfId="0" applyFont="1" applyFill="1" applyBorder="1" applyAlignment="1">
      <alignment horizontal="center" vertical="center"/>
    </xf>
    <xf numFmtId="0" fontId="19" fillId="14" borderId="5" xfId="0" applyFont="1" applyFill="1" applyBorder="1" applyAlignment="1">
      <alignment horizontal="center" vertical="center"/>
    </xf>
    <xf numFmtId="0" fontId="19" fillId="14" borderId="6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15" fillId="6" borderId="0" xfId="0" applyFont="1" applyFill="1" applyBorder="1" applyAlignment="1">
      <alignment horizontal="center" vertical="center" wrapText="1"/>
    </xf>
    <xf numFmtId="0" fontId="16" fillId="4" borderId="2" xfId="0" applyFont="1" applyFill="1" applyBorder="1" applyAlignment="1">
      <alignment horizontal="right" vertical="center"/>
    </xf>
    <xf numFmtId="0" fontId="17" fillId="12" borderId="3" xfId="0" applyFont="1" applyFill="1" applyBorder="1" applyAlignment="1">
      <alignment horizontal="center" vertical="center"/>
    </xf>
    <xf numFmtId="0" fontId="18" fillId="11" borderId="7" xfId="0" applyFont="1" applyFill="1" applyBorder="1" applyAlignment="1">
      <alignment horizontal="left" vertical="center"/>
    </xf>
    <xf numFmtId="0" fontId="18" fillId="11" borderId="9" xfId="0" applyFont="1" applyFill="1" applyBorder="1" applyAlignment="1">
      <alignment horizontal="left" vertical="center"/>
    </xf>
    <xf numFmtId="0" fontId="18" fillId="11" borderId="8" xfId="0" applyFont="1" applyFill="1" applyBorder="1" applyAlignment="1">
      <alignment horizontal="left" vertical="center"/>
    </xf>
    <xf numFmtId="0" fontId="16" fillId="10" borderId="7" xfId="0" applyFont="1" applyFill="1" applyBorder="1" applyAlignment="1">
      <alignment horizontal="left" vertical="center"/>
    </xf>
    <xf numFmtId="0" fontId="16" fillId="10" borderId="9" xfId="0" applyFont="1" applyFill="1" applyBorder="1" applyAlignment="1">
      <alignment horizontal="left" vertical="center"/>
    </xf>
    <xf numFmtId="0" fontId="16" fillId="10" borderId="8" xfId="0" applyFont="1" applyFill="1" applyBorder="1" applyAlignment="1">
      <alignment horizontal="left" vertical="center"/>
    </xf>
    <xf numFmtId="0" fontId="34" fillId="13" borderId="0" xfId="0" applyFont="1" applyFill="1" applyAlignment="1">
      <alignment horizontal="center"/>
    </xf>
    <xf numFmtId="0" fontId="32" fillId="6" borderId="37" xfId="0" applyFont="1" applyFill="1" applyBorder="1" applyAlignment="1">
      <alignment horizontal="center" vertical="center"/>
    </xf>
    <xf numFmtId="0" fontId="27" fillId="14" borderId="37" xfId="0" applyFont="1" applyFill="1" applyBorder="1" applyAlignment="1">
      <alignment horizontal="left" vertical="center"/>
    </xf>
    <xf numFmtId="0" fontId="32" fillId="14" borderId="37" xfId="0" applyFont="1" applyFill="1" applyBorder="1" applyAlignment="1">
      <alignment horizontal="center" vertical="center"/>
    </xf>
    <xf numFmtId="9" fontId="32" fillId="14" borderId="37" xfId="5" applyFont="1" applyFill="1" applyBorder="1" applyAlignment="1">
      <alignment horizontal="center" vertical="center"/>
    </xf>
    <xf numFmtId="22" fontId="28" fillId="4" borderId="37" xfId="0" applyNumberFormat="1" applyFont="1" applyFill="1" applyBorder="1" applyAlignment="1">
      <alignment horizontal="center" vertical="center"/>
    </xf>
    <xf numFmtId="0" fontId="19" fillId="4" borderId="37" xfId="0" applyFont="1" applyFill="1" applyBorder="1" applyAlignment="1">
      <alignment horizontal="center" vertical="center"/>
    </xf>
    <xf numFmtId="169" fontId="28" fillId="4" borderId="37" xfId="0" applyNumberFormat="1" applyFont="1" applyFill="1" applyBorder="1" applyAlignment="1">
      <alignment horizontal="right" vertical="center"/>
    </xf>
    <xf numFmtId="169" fontId="28" fillId="4" borderId="37" xfId="1" applyNumberFormat="1" applyFont="1" applyFill="1" applyBorder="1" applyAlignment="1">
      <alignment horizontal="right" vertical="center"/>
    </xf>
    <xf numFmtId="165" fontId="26" fillId="4" borderId="37" xfId="1" applyNumberFormat="1" applyFont="1" applyFill="1" applyBorder="1" applyAlignment="1">
      <alignment horizontal="right" vertical="center"/>
    </xf>
    <xf numFmtId="2" fontId="19" fillId="4" borderId="37" xfId="0" applyNumberFormat="1" applyFont="1" applyFill="1" applyBorder="1" applyAlignment="1">
      <alignment horizontal="right" vertical="center"/>
    </xf>
    <xf numFmtId="0" fontId="27" fillId="4" borderId="37" xfId="0" applyFont="1" applyFill="1" applyBorder="1" applyAlignment="1">
      <alignment horizontal="center" vertical="center"/>
    </xf>
    <xf numFmtId="10" fontId="27" fillId="4" borderId="37" xfId="0" applyNumberFormat="1" applyFont="1" applyFill="1" applyBorder="1" applyAlignment="1">
      <alignment horizontal="center" vertical="center"/>
    </xf>
    <xf numFmtId="22" fontId="28" fillId="14" borderId="37" xfId="0" applyNumberFormat="1" applyFont="1" applyFill="1" applyBorder="1" applyAlignment="1">
      <alignment horizontal="center" vertical="center"/>
    </xf>
    <xf numFmtId="0" fontId="19" fillId="14" borderId="37" xfId="0" applyFont="1" applyFill="1" applyBorder="1" applyAlignment="1">
      <alignment horizontal="center" vertical="center"/>
    </xf>
    <xf numFmtId="169" fontId="28" fillId="14" borderId="37" xfId="0" applyNumberFormat="1" applyFont="1" applyFill="1" applyBorder="1" applyAlignment="1">
      <alignment horizontal="right" vertical="center"/>
    </xf>
    <xf numFmtId="169" fontId="28" fillId="14" borderId="37" xfId="1" applyNumberFormat="1" applyFont="1" applyFill="1" applyBorder="1" applyAlignment="1">
      <alignment horizontal="right" vertical="center"/>
    </xf>
    <xf numFmtId="165" fontId="26" fillId="14" borderId="37" xfId="1" applyNumberFormat="1" applyFont="1" applyFill="1" applyBorder="1" applyAlignment="1">
      <alignment horizontal="right" vertical="center"/>
    </xf>
    <xf numFmtId="2" fontId="19" fillId="14" borderId="37" xfId="0" applyNumberFormat="1" applyFont="1" applyFill="1" applyBorder="1" applyAlignment="1">
      <alignment horizontal="right" vertical="center"/>
    </xf>
    <xf numFmtId="0" fontId="27" fillId="14" borderId="37" xfId="0" applyFont="1" applyFill="1" applyBorder="1" applyAlignment="1">
      <alignment horizontal="center" vertical="center"/>
    </xf>
    <xf numFmtId="10" fontId="27" fillId="14" borderId="37" xfId="0" applyNumberFormat="1" applyFont="1" applyFill="1" applyBorder="1" applyAlignment="1">
      <alignment horizontal="center" vertical="center"/>
    </xf>
    <xf numFmtId="10" fontId="26" fillId="4" borderId="37" xfId="0" applyNumberFormat="1" applyFont="1" applyFill="1" applyBorder="1" applyAlignment="1">
      <alignment horizontal="center" vertical="center"/>
    </xf>
    <xf numFmtId="10" fontId="26" fillId="14" borderId="37" xfId="0" applyNumberFormat="1" applyFont="1" applyFill="1" applyBorder="1" applyAlignment="1">
      <alignment horizontal="center" vertical="center"/>
    </xf>
    <xf numFmtId="22" fontId="26" fillId="10" borderId="37" xfId="0" applyNumberFormat="1" applyFont="1" applyFill="1" applyBorder="1" applyAlignment="1">
      <alignment horizontal="center" vertical="center"/>
    </xf>
    <xf numFmtId="0" fontId="26" fillId="10" borderId="37" xfId="0" applyFont="1" applyFill="1" applyBorder="1" applyAlignment="1">
      <alignment horizontal="center" vertical="center"/>
    </xf>
    <xf numFmtId="165" fontId="26" fillId="10" borderId="37" xfId="0" applyNumberFormat="1" applyFont="1" applyFill="1" applyBorder="1" applyAlignment="1">
      <alignment horizontal="center" vertical="center"/>
    </xf>
    <xf numFmtId="2" fontId="26" fillId="10" borderId="37" xfId="0" applyNumberFormat="1" applyFont="1" applyFill="1" applyBorder="1" applyAlignment="1">
      <alignment horizontal="right" vertical="center"/>
    </xf>
    <xf numFmtId="10" fontId="26" fillId="10" borderId="37" xfId="0" applyNumberFormat="1" applyFont="1" applyFill="1" applyBorder="1" applyAlignment="1">
      <alignment horizontal="center" vertical="center"/>
    </xf>
  </cellXfs>
  <cellStyles count="6">
    <cellStyle name="Bad" xfId="3" builtinId="27"/>
    <cellStyle name="Comma" xfId="4" builtinId="3"/>
    <cellStyle name="Good" xfId="1" builtinId="26"/>
    <cellStyle name="Hyperlink" xfId="2" builtinId="8"/>
    <cellStyle name="Normal" xfId="0" builtinId="0"/>
    <cellStyle name="Percent" xfId="5" builtinId="5"/>
  </cellStyles>
  <dxfs count="1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4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4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4" tint="0.39994506668294322"/>
        </patternFill>
      </fill>
    </dxf>
  </dxfs>
  <tableStyles count="0" defaultTableStyle="TableStyleMedium2" defaultPivotStyle="PivotStyleLight16"/>
  <colors>
    <mruColors>
      <color rgb="FF920000"/>
      <color rgb="FFD3E7C7"/>
      <color rgb="FFFFCCCC"/>
      <color rgb="FFFF7C80"/>
      <color rgb="FFFFFFCC"/>
      <color rgb="FFFF9999"/>
      <color rgb="FFE4BAFE"/>
      <color rgb="FFFFB3B5"/>
      <color rgb="FFFFFBEF"/>
      <color rgb="FFD696F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4.xml"/><Relationship Id="rId18" Type="http://schemas.openxmlformats.org/officeDocument/2006/relationships/connections" Target="connections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7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6.xml"/><Relationship Id="rId10" Type="http://schemas.openxmlformats.org/officeDocument/2006/relationships/externalLink" Target="externalLinks/externalLink1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5.xml"/><Relationship Id="rId22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12fa85d1527a9d0/Trading/2%20Axiom%20Workbook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shboard"/>
      <sheetName val="Trade Process"/>
      <sheetName val="Compound Calculator"/>
      <sheetName val="Computer Setups"/>
      <sheetName val="Visual Playbook"/>
      <sheetName val="Fundamentals"/>
      <sheetName val="Account Performance"/>
      <sheetName val="Currency Performance"/>
      <sheetName val="Todays Performance"/>
      <sheetName val="Open Performance"/>
      <sheetName val="Closed Performance"/>
      <sheetName val="Analytics - Time"/>
      <sheetName val="Analytics - Counts"/>
      <sheetName val="Analytics Log - Live"/>
      <sheetName val="Trade Axiom"/>
      <sheetName val="Trade Axiom - Alpha"/>
      <sheetName val="Trade Axiom - Order Entry"/>
      <sheetName val="Trade Axiom - Calculation"/>
      <sheetName val="Trade Axiom - Pricing"/>
      <sheetName val="Trade Axiom - Market"/>
      <sheetName val="Trade Axiom - OE AX PR CA"/>
      <sheetName val="Daily Play"/>
      <sheetName val="Algo M5"/>
      <sheetName val="Algo D1"/>
      <sheetName val="Tax Calculator"/>
      <sheetName val="Currency Basket"/>
      <sheetName val="Backtesting"/>
      <sheetName val="Indicators"/>
      <sheetName val="Settings"/>
      <sheetName val="Data - Fundamental"/>
      <sheetName val="Data - Data Feed"/>
      <sheetName val="Data - DDE"/>
      <sheetName val="Data - Pair Specs"/>
      <sheetName val="Data - Pricing"/>
      <sheetName val="Data - Pip Values"/>
      <sheetName val="Account Export - Real History"/>
      <sheetName val="Account Export - Real Live"/>
      <sheetName val="Account Export - Demo Live"/>
      <sheetName val="Account Export - Demo Live AX2"/>
      <sheetName val="Account Export - Demo History"/>
      <sheetName val="Floating Tools"/>
      <sheetName val="EA Logic Flow"/>
      <sheetName val="Data List"/>
      <sheetName val="Trade Creator - Pricing"/>
      <sheetName val="Trade Creator - Calculation"/>
      <sheetName val="Trade Creator"/>
      <sheetName val="Risk Model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Q2" t="str">
            <v>Suite</v>
          </cell>
        </row>
        <row r="3">
          <cell r="Q3" t="str">
            <v>Analytics</v>
          </cell>
        </row>
        <row r="4">
          <cell r="Q4" t="str">
            <v>MDB</v>
          </cell>
        </row>
        <row r="5">
          <cell r="Q5" t="str">
            <v>Indicators</v>
          </cell>
        </row>
        <row r="6">
          <cell r="Q6" t="str">
            <v>Tools</v>
          </cell>
        </row>
        <row r="7">
          <cell r="Q7" t="str">
            <v>Data</v>
          </cell>
        </row>
        <row r="8">
          <cell r="Q8" t="str">
            <v>Maintenance</v>
          </cell>
        </row>
        <row r="9">
          <cell r="Q9" t="str">
            <v>WIP</v>
          </cell>
        </row>
        <row r="10">
          <cell r="Q10" t="str">
            <v>_____MasterList</v>
          </cell>
        </row>
      </sheetData>
      <sheetData sheetId="43"/>
      <sheetData sheetId="44"/>
      <sheetData sheetId="45"/>
      <sheetData sheetId="4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TIME">
    <ddeItems>
      <ddeItem name="AUDCAD" advise="1">
        <values cols="3">
          <value>
            <val>2020</val>
          </value>
          <value>
            <val>6</val>
          </value>
          <value t="str">
            <val>02 13:45</val>
          </value>
        </values>
      </ddeItem>
      <ddeItem name="AUDCHF" advise="1">
        <values cols="3">
          <value>
            <val>2020</val>
          </value>
          <value>
            <val>6</val>
          </value>
          <value t="str">
            <val>02 13:45</val>
          </value>
        </values>
      </ddeItem>
      <ddeItem name="AUDJPY" advise="1">
        <values cols="3">
          <value>
            <val>2020</val>
          </value>
          <value>
            <val>6</val>
          </value>
          <value t="str">
            <val>02 13:45</val>
          </value>
        </values>
      </ddeItem>
      <ddeItem name="AUDNZD" advise="1">
        <values cols="3">
          <value>
            <val>2020</val>
          </value>
          <value>
            <val>6</val>
          </value>
          <value t="str">
            <val>02 13:45</val>
          </value>
        </values>
      </ddeItem>
      <ddeItem name="AUDUSD" advise="1">
        <values cols="3">
          <value>
            <val>2020</val>
          </value>
          <value>
            <val>6</val>
          </value>
          <value t="str">
            <val>02 13:45</val>
          </value>
        </values>
      </ddeItem>
      <ddeItem name="CADCHF" advise="1">
        <values cols="3">
          <value>
            <val>2020</val>
          </value>
          <value>
            <val>6</val>
          </value>
          <value t="str">
            <val>02 13:45</val>
          </value>
        </values>
      </ddeItem>
      <ddeItem name="CADJPY" advise="1">
        <values cols="3">
          <value>
            <val>2020</val>
          </value>
          <value>
            <val>6</val>
          </value>
          <value t="str">
            <val>02 13:45</val>
          </value>
        </values>
      </ddeItem>
      <ddeItem name="CHFJPY" advise="1">
        <values cols="3">
          <value>
            <val>2020</val>
          </value>
          <value>
            <val>6</val>
          </value>
          <value t="str">
            <val>02 13:45</val>
          </value>
        </values>
      </ddeItem>
      <ddeItem name="EURAUD" advise="1">
        <values cols="3">
          <value>
            <val>2020</val>
          </value>
          <value>
            <val>6</val>
          </value>
          <value t="str">
            <val>02 13:45</val>
          </value>
        </values>
      </ddeItem>
      <ddeItem name="EURCAD" advise="1">
        <values cols="3">
          <value>
            <val>2020</val>
          </value>
          <value>
            <val>6</val>
          </value>
          <value t="str">
            <val>02 13:45</val>
          </value>
        </values>
      </ddeItem>
      <ddeItem name="EURCHF" advise="1">
        <values cols="3">
          <value>
            <val>2020</val>
          </value>
          <value>
            <val>6</val>
          </value>
          <value t="str">
            <val>02 13:45</val>
          </value>
        </values>
      </ddeItem>
      <ddeItem name="EURGBP" advise="1">
        <values cols="3">
          <value>
            <val>2020</val>
          </value>
          <value>
            <val>6</val>
          </value>
          <value t="str">
            <val>02 13:45</val>
          </value>
        </values>
      </ddeItem>
      <ddeItem name="EURJPY" advise="1">
        <values cols="3">
          <value>
            <val>2020</val>
          </value>
          <value>
            <val>6</val>
          </value>
          <value t="str">
            <val>02 13:45</val>
          </value>
        </values>
      </ddeItem>
      <ddeItem name="EURNZD" advise="1">
        <values cols="3">
          <value>
            <val>2020</val>
          </value>
          <value>
            <val>6</val>
          </value>
          <value t="str">
            <val>02 13:45</val>
          </value>
        </values>
      </ddeItem>
      <ddeItem name="EURUSD" advise="1">
        <values cols="3">
          <value>
            <val>2020</val>
          </value>
          <value>
            <val>6</val>
          </value>
          <value t="str">
            <val>02 13:45</val>
          </value>
        </values>
      </ddeItem>
      <ddeItem name="GBPAUD" advise="1">
        <values cols="3">
          <value>
            <val>2020</val>
          </value>
          <value>
            <val>6</val>
          </value>
          <value t="str">
            <val>02 13:45</val>
          </value>
        </values>
      </ddeItem>
      <ddeItem name="GBPCAD" advise="1">
        <values cols="3">
          <value>
            <val>2020</val>
          </value>
          <value>
            <val>6</val>
          </value>
          <value t="str">
            <val>02 13:45</val>
          </value>
        </values>
      </ddeItem>
      <ddeItem name="GBPCHF" advise="1">
        <values cols="3">
          <value>
            <val>2020</val>
          </value>
          <value>
            <val>6</val>
          </value>
          <value t="str">
            <val>02 13:45</val>
          </value>
        </values>
      </ddeItem>
      <ddeItem name="GBPJPY" advise="1">
        <values cols="3">
          <value>
            <val>2020</val>
          </value>
          <value>
            <val>6</val>
          </value>
          <value t="str">
            <val>02 13:45</val>
          </value>
        </values>
      </ddeItem>
      <ddeItem name="GBPNZD" advise="1">
        <values cols="3">
          <value>
            <val>2020</val>
          </value>
          <value>
            <val>6</val>
          </value>
          <value t="str">
            <val>02 13:45</val>
          </value>
        </values>
      </ddeItem>
      <ddeItem name="GBPUSD" advise="1">
        <values cols="3">
          <value>
            <val>2020</val>
          </value>
          <value>
            <val>6</val>
          </value>
          <value t="str">
            <val>02 13:45</val>
          </value>
        </values>
      </ddeItem>
      <ddeItem name="NZDCAD" advise="1">
        <values cols="3">
          <value>
            <val>2020</val>
          </value>
          <value>
            <val>6</val>
          </value>
          <value t="str">
            <val>02 13:45</val>
          </value>
        </values>
      </ddeItem>
      <ddeItem name="NZDCHF" advise="1">
        <values cols="3">
          <value>
            <val>2020</val>
          </value>
          <value>
            <val>6</val>
          </value>
          <value t="str">
            <val>02 13:45</val>
          </value>
        </values>
      </ddeItem>
      <ddeItem name="NZDJPY" advise="1">
        <values cols="3">
          <value>
            <val>2020</val>
          </value>
          <value>
            <val>6</val>
          </value>
          <value t="str">
            <val>02 13:45</val>
          </value>
        </values>
      </ddeItem>
      <ddeItem name="NZDUSD" advise="1">
        <values cols="3">
          <value>
            <val>2020</val>
          </value>
          <value>
            <val>6</val>
          </value>
          <value t="str">
            <val>02 13:45</val>
          </value>
        </values>
      </ddeItem>
      <ddeItem name="StdDocumentName" ole="1" advise="1"/>
      <ddeItem name="USDCAD" advise="1">
        <values cols="3">
          <value>
            <val>2020</val>
          </value>
          <value>
            <val>6</val>
          </value>
          <value t="str">
            <val>02 13:45</val>
          </value>
        </values>
      </ddeItem>
      <ddeItem name="USDCHF" advise="1">
        <values cols="3">
          <value>
            <val>2020</val>
          </value>
          <value>
            <val>6</val>
          </value>
          <value t="str">
            <val>02 13:45</val>
          </value>
        </values>
      </ddeItem>
      <ddeItem name="USDJPY" advise="1">
        <values cols="3">
          <value>
            <val>2020</val>
          </value>
          <value>
            <val>6</val>
          </value>
          <value t="str">
            <val>02 13:45</val>
          </value>
        </values>
      </ddeItem>
      <ddeItem name="USDSGD" advise="1">
        <values cols="3">
          <value>
            <val>2020</val>
          </value>
          <value>
            <val>6</val>
          </value>
          <value t="str">
            <val>02 13:45</val>
          </value>
        </values>
      </ddeItem>
      <ddeItem name="XAUUSD" advise="1">
        <values cols="3">
          <value>
            <val>2020</val>
          </value>
          <value>
            <val>6</val>
          </value>
          <value t="str">
            <val>02 13:45</val>
          </value>
        </values>
      </ddeItem>
    </ddeItems>
  </ddeLin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BID">
    <ddeItems>
      <ddeItem name="AUDCAD" advise="1">
        <values>
          <value>
            <val>0.92645999999999995</val>
          </value>
        </values>
      </ddeItem>
      <ddeItem name="AUDCHF" advise="1">
        <values>
          <value>
            <val>0.65917000000000003</val>
          </value>
        </values>
      </ddeItem>
      <ddeItem name="AUDJPY" advise="1">
        <values>
          <value>
            <val>73.855999999999995</val>
          </value>
        </values>
      </ddeItem>
      <ddeItem name="AUDNZD" advise="1">
        <values>
          <value>
            <val>1.08544</val>
          </value>
        </values>
      </ddeItem>
      <ddeItem name="AUDUSD" advise="1">
        <values>
          <value>
            <val>0.68540999999999996</val>
          </value>
        </values>
      </ddeItem>
      <ddeItem name="CADCHF" advise="1">
        <values>
          <value>
            <val>0.71150000000000002</val>
          </value>
        </values>
      </ddeItem>
      <ddeItem name="CADJPY" advise="1">
        <values>
          <value>
            <val>79.716999999999999</val>
          </value>
        </values>
      </ddeItem>
      <ddeItem name="CHFJPY" advise="1">
        <values>
          <value>
            <val>112.04</val>
          </value>
        </values>
      </ddeItem>
      <ddeItem name="EURAUD" advise="1">
        <values>
          <value>
            <val>1.62944</val>
          </value>
        </values>
      </ddeItem>
      <ddeItem name="EURCAD" advise="1">
        <values>
          <value>
            <val>1.50963</val>
          </value>
        </values>
      </ddeItem>
      <ddeItem name="EURCHF" advise="1">
        <values>
          <value>
            <val>1.0741099999999999</val>
          </value>
        </values>
      </ddeItem>
      <ddeItem name="EURGBP" advise="1">
        <values>
          <value>
            <val>0.88883999999999996</val>
          </value>
        </values>
      </ddeItem>
      <ddeItem name="EURJPY" advise="1">
        <values>
          <value>
            <val>120.34699999999999</val>
          </value>
        </values>
      </ddeItem>
      <ddeItem name="EURNZD" advise="1">
        <values>
          <value>
            <val>1.76874</val>
          </value>
        </values>
      </ddeItem>
      <ddeItem name="EURUSD" advise="1">
        <values>
          <value>
            <val>1.11686</val>
          </value>
        </values>
      </ddeItem>
      <ddeItem name="GBPAUD" advise="1">
        <values>
          <value>
            <val>1.8332299999999999</val>
          </value>
        </values>
      </ddeItem>
      <ddeItem name="GBPCAD" advise="1">
        <values>
          <value>
            <val>1.69845</val>
          </value>
        </values>
      </ddeItem>
      <ddeItem name="GBPCHF" advise="1">
        <values>
          <value>
            <val>1.20844</val>
          </value>
        </values>
      </ddeItem>
      <ddeItem name="GBPJPY" advise="1">
        <values>
          <value>
            <val>135.4</val>
          </value>
        </values>
      </ddeItem>
      <ddeItem name="GBPNZD" advise="1">
        <values>
          <value>
            <val>1.9899100000000001</val>
          </value>
        </values>
      </ddeItem>
      <ddeItem name="GBPUSD" advise="1">
        <values>
          <value>
            <val>1.2565599999999999</val>
          </value>
        </values>
      </ddeItem>
      <ddeItem name="NZDCAD" advise="1">
        <values>
          <value>
            <val>0.85346</val>
          </value>
        </values>
      </ddeItem>
      <ddeItem name="NZDCHF" advise="1">
        <values>
          <value>
            <val>0.60726999999999998</val>
          </value>
        </values>
      </ddeItem>
      <ddeItem name="NZDJPY" advise="1">
        <values>
          <value>
            <val>68.039000000000001</val>
          </value>
        </values>
      </ddeItem>
      <ddeItem name="NZDUSD" advise="1">
        <values>
          <value>
            <val>0.63141999999999998</val>
          </value>
        </values>
      </ddeItem>
      <ddeItem name="StdDocumentName" ole="1" advise="1"/>
      <ddeItem name="USDCAD" advise="1">
        <values>
          <value>
            <val>1.35168</val>
          </value>
        </values>
      </ddeItem>
      <ddeItem name="USDCHF" advise="1">
        <values>
          <value>
            <val>0.96170999999999995</val>
          </value>
        </values>
      </ddeItem>
      <ddeItem name="USDJPY" advise="1">
        <values>
          <value>
            <val>107.756</val>
          </value>
        </values>
      </ddeItem>
      <ddeItem name="USDSGD" advise="1">
        <values>
          <value>
            <val>1.4016900000000001</val>
          </value>
        </values>
      </ddeItem>
      <ddeItem name="XAUUSD" advise="1">
        <values>
          <value>
            <val>1738.87</val>
          </value>
        </values>
      </ddeItem>
    </ddeItems>
  </ddeLin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ASK">
    <ddeItems>
      <ddeItem name="AUDCAD" advise="1">
        <values>
          <value>
            <val>0.92649999999999999</val>
          </value>
        </values>
      </ddeItem>
      <ddeItem name="AUDCHF" advise="1">
        <values>
          <value>
            <val>0.65920999999999996</val>
          </value>
        </values>
      </ddeItem>
      <ddeItem name="AUDJPY" advise="1">
        <values>
          <value>
            <val>73.858999999999995</val>
          </value>
        </values>
      </ddeItem>
      <ddeItem name="AUDNZD" advise="1">
        <values>
          <value>
            <val>1.08551</val>
          </value>
        </values>
      </ddeItem>
      <ddeItem name="AUDUSD" advise="1">
        <values>
          <value>
            <val>0.68542999999999998</val>
          </value>
        </values>
      </ddeItem>
      <ddeItem name="CADCHF" advise="1">
        <values>
          <value>
            <val>0.71152000000000004</val>
          </value>
        </values>
      </ddeItem>
      <ddeItem name="CADJPY" advise="1">
        <values>
          <value>
            <val>79.718999999999994</val>
          </value>
        </values>
      </ddeItem>
      <ddeItem name="CHFJPY" advise="1">
        <values>
          <value>
            <val>112.04600000000001</val>
          </value>
        </values>
      </ddeItem>
      <ddeItem name="EURAUD" advise="1">
        <values>
          <value>
            <val>1.6294900000000001</val>
          </value>
        </values>
      </ddeItem>
      <ddeItem name="EURCAD" advise="1">
        <values>
          <value>
            <val>1.5097100000000001</val>
          </value>
        </values>
      </ddeItem>
      <ddeItem name="EURCHF" advise="1">
        <values>
          <value>
            <val>1.0741400000000001</val>
          </value>
        </values>
      </ddeItem>
      <ddeItem name="EURGBP" advise="1">
        <values>
          <value>
            <val>0.88885999999999998</val>
          </value>
        </values>
      </ddeItem>
      <ddeItem name="EURJPY" advise="1">
        <values>
          <value>
            <val>120.348</val>
          </value>
        </values>
      </ddeItem>
      <ddeItem name="EURNZD" advise="1">
        <values>
          <value>
            <val>1.7687999999999999</val>
          </value>
        </values>
      </ddeItem>
      <ddeItem name="EURUSD" advise="1">
        <values>
          <value>
            <val>1.11686</val>
          </value>
        </values>
      </ddeItem>
      <ddeItem name="GBPAUD" advise="1">
        <values>
          <value>
            <val>1.8333299999999999</val>
          </value>
        </values>
      </ddeItem>
      <ddeItem name="GBPCAD" advise="1">
        <values>
          <value>
            <val>1.69852</val>
          </value>
        </values>
      </ddeItem>
      <ddeItem name="GBPCHF" advise="1">
        <values>
          <value>
            <val>1.20852</val>
          </value>
        </values>
      </ddeItem>
      <ddeItem name="GBPJPY" advise="1">
        <values>
          <value>
            <val>135.40199999999999</val>
          </value>
        </values>
      </ddeItem>
      <ddeItem name="GBPNZD" advise="1">
        <values>
          <value>
            <val>1.9901</val>
          </value>
        </values>
      </ddeItem>
      <ddeItem name="GBPUSD" advise="1">
        <values>
          <value>
            <val>1.2565599999999999</val>
          </value>
        </values>
      </ddeItem>
      <ddeItem name="NZDCAD" advise="1">
        <values>
          <value>
            <val>0.85353999999999997</val>
          </value>
        </values>
      </ddeItem>
      <ddeItem name="NZDCHF" advise="1">
        <values>
          <value>
            <val>0.60729</val>
          </value>
        </values>
      </ddeItem>
      <ddeItem name="NZDJPY" advise="1">
        <values>
          <value>
            <val>68.043000000000006</val>
          </value>
        </values>
      </ddeItem>
      <ddeItem name="NZDUSD" advise="1">
        <values>
          <value>
            <val>0.63143000000000005</val>
          </value>
        </values>
      </ddeItem>
      <ddeItem name="StdDocumentName" ole="1" advise="1"/>
      <ddeItem name="USDCAD" advise="1">
        <values>
          <value>
            <val>1.35172</val>
          </value>
        </values>
      </ddeItem>
      <ddeItem name="USDCHF" advise="1">
        <values>
          <value>
            <val>0.96172999999999997</val>
          </value>
        </values>
      </ddeItem>
      <ddeItem name="USDJPY" advise="1">
        <values>
          <value>
            <val>107.756</val>
          </value>
        </values>
      </ddeItem>
      <ddeItem name="USDSGD" advise="1">
        <values>
          <value>
            <val>1.40174</val>
          </value>
        </values>
      </ddeItem>
      <ddeItem name="XAUUSD" advise="1">
        <values>
          <value>
            <val>1739.14</val>
          </value>
        </values>
      </ddeItem>
    </ddeItems>
  </ddeLin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LOW">
    <ddeItems>
      <ddeItem name="AUDCAD" advise="1">
        <values>
          <value>
            <val>0.91927000000000003</val>
          </value>
        </values>
      </ddeItem>
      <ddeItem name="AUDCHF" advise="1">
        <values>
          <value>
            <val>0.65137999999999996</val>
          </value>
        </values>
      </ddeItem>
      <ddeItem name="AUDJPY" advise="1">
        <values>
          <value>
            <val>72.933000000000007</val>
          </value>
        </values>
      </ddeItem>
      <ddeItem name="AUDNZD" advise="1">
        <values>
          <value>
            <val>1.07894</val>
          </value>
        </values>
      </ddeItem>
      <ddeItem name="AUDUSD" advise="1">
        <values>
          <value>
            <val>0.67749000000000004</val>
          </value>
        </values>
      </ddeItem>
      <ddeItem name="CADCHF" advise="1">
        <values>
          <value>
            <val>0.70684999999999998</val>
          </value>
        </values>
      </ddeItem>
      <ddeItem name="CADJPY" advise="1">
        <values>
          <value>
            <val>79.153999999999996</val>
          </value>
        </values>
      </ddeItem>
      <ddeItem name="CHFJPY" advise="1">
        <values>
          <value>
            <val>111.818</val>
          </value>
        </values>
      </ddeItem>
      <ddeItem name="EURAUD" advise="1">
        <values>
          <value>
            <val>1.6281099999999999</val>
          </value>
        </values>
      </ddeItem>
      <ddeItem name="EURCAD" advise="1">
        <values>
          <value>
            <val>1.5054700000000001</val>
          </value>
        </values>
      </ddeItem>
      <ddeItem name="EURCHF" advise="1">
        <values>
          <value>
            <val>1.06856</val>
          </value>
        </values>
      </ddeItem>
      <ddeItem name="EURGBP" advise="1">
        <values>
          <value>
            <val>0.88666</val>
          </value>
        </values>
      </ddeItem>
      <ddeItem name="EURJPY" advise="1">
        <values>
          <value>
            <val>119.624</val>
          </value>
        </values>
      </ddeItem>
      <ddeItem name="EURNZD" advise="1">
        <values>
          <value>
            <val>1.7657</val>
          </value>
        </values>
      </ddeItem>
      <ddeItem name="EURUSD" advise="1">
        <values>
          <value>
            <val>1.1115200000000001</val>
          </value>
        </values>
      </ddeItem>
      <ddeItem name="GBPAUD" advise="1">
        <values>
          <value>
            <val>1.8292200000000001</val>
          </value>
        </values>
      </ddeItem>
      <ddeItem name="GBPCAD" advise="1">
        <values>
          <value>
            <val>1.6906000000000001</val>
          </value>
        </values>
      </ddeItem>
      <ddeItem name="GBPCHF" advise="1">
        <values>
          <value>
            <val>1.1994</val>
          </value>
        </values>
      </ddeItem>
      <ddeItem name="GBPJPY" advise="1">
        <values>
          <value>
            <val>134.21899999999999</val>
          </value>
        </values>
      </ddeItem>
      <ddeItem name="GBPNZD" advise="1">
        <values>
          <value>
            <val>1.98224</val>
          </value>
        </values>
      </ddeItem>
      <ddeItem name="GBPUSD" advise="1">
        <values>
          <value>
            <val>1.2478499999999999</val>
          </value>
        </values>
      </ddeItem>
      <ddeItem name="NZDCAD" advise="1">
        <values>
          <value>
            <val>0.84818000000000005</val>
          </value>
        </values>
      </ddeItem>
      <ddeItem name="NZDCHF" advise="1">
        <values>
          <value>
            <val>0.60136999999999996</val>
          </value>
        </values>
      </ddeItem>
      <ddeItem name="NZDJPY" advise="1">
        <values>
          <value>
            <val>67.515000000000001</val>
          </value>
        </values>
      </ddeItem>
      <ddeItem name="NZDUSD" advise="1">
        <values>
          <value>
            <val>0.62629000000000001</val>
          </value>
        </values>
      </ddeItem>
      <ddeItem name="StdDocumentName" ole="1" advise="1"/>
      <ddeItem name="USDCAD" advise="1">
        <values>
          <value>
            <val>1.3493200000000001</val>
          </value>
        </values>
      </ddeItem>
      <ddeItem name="USDCHF" advise="1">
        <values>
          <value>
            <val>0.95730999999999999</val>
          </value>
        </values>
      </ddeItem>
      <ddeItem name="USDJPY" advise="1">
        <values>
          <value>
            <val>107.514</val>
          </value>
        </values>
      </ddeItem>
      <ddeItem name="USDSGD" advise="1">
        <values>
          <value>
            <val>1.40065</val>
          </value>
        </values>
      </ddeItem>
      <ddeItem name="XAUUSD" advise="1">
        <values>
          <value>
            <val>1734.89</val>
          </value>
        </values>
      </ddeItem>
    </ddeItems>
  </ddeLin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HIGH">
    <ddeItems>
      <ddeItem name="AUDCAD" advise="1">
        <values>
          <value>
            <val>0.92742000000000002</val>
          </value>
        </values>
      </ddeItem>
      <ddeItem name="AUDCHF" advise="1">
        <values>
          <value>
            <val>0.66098999999999997</val>
          </value>
        </values>
      </ddeItem>
      <ddeItem name="AUDJPY" advise="1">
        <values>
          <value>
            <val>74.010999999999996</val>
          </value>
        </values>
      </ddeItem>
      <ddeItem name="AUDNZD" advise="1">
        <values>
          <value>
            <val>1.0880700000000001</val>
          </value>
        </values>
      </ddeItem>
      <ddeItem name="AUDUSD" advise="1">
        <values>
          <value>
            <val>0.68693000000000004</val>
          </value>
        </values>
      </ddeItem>
      <ddeItem name="CADCHF" advise="1">
        <values>
          <value>
            <val>0.71286000000000005</val>
          </value>
        </values>
      </ddeItem>
      <ddeItem name="CADJPY" advise="1">
        <values>
          <value>
            <val>79.856999999999999</val>
          </value>
        </values>
      </ddeItem>
      <ddeItem name="CHFJPY" advise="1">
        <values>
          <value>
            <val>112.544</val>
          </value>
        </values>
      </ddeItem>
      <ddeItem name="EURAUD" advise="1">
        <values>
          <value>
            <val>1.6416500000000001</val>
          </value>
        </values>
      </ddeItem>
      <ddeItem name="EURCAD" advise="1">
        <values>
          <value>
            <val>1.5116000000000001</val>
          </value>
        </values>
      </ddeItem>
      <ddeItem name="EURCHF" advise="1">
        <values>
          <value>
            <val>1.0763</val>
          </value>
        </values>
      </ddeItem>
      <ddeItem name="EURGBP" advise="1">
        <values>
          <value>
            <val>0.89166000000000001</val>
          </value>
        </values>
      </ddeItem>
      <ddeItem name="EURJPY" advise="1">
        <values>
          <value>
            <val>120.551</val>
          </value>
        </values>
      </ddeItem>
      <ddeItem name="EURNZD" advise="1">
        <values>
          <value>
            <val>1.7780400000000001</val>
          </value>
        </values>
      </ddeItem>
      <ddeItem name="EURUSD" advise="1">
        <values>
          <value>
            <val>1.1187800000000001</val>
          </value>
        </values>
      </ddeItem>
      <ddeItem name="GBPAUD" advise="1">
        <values>
          <value>
            <val>1.8456300000000001</val>
          </value>
        </values>
      </ddeItem>
      <ddeItem name="GBPCAD" advise="1">
        <values>
          <value>
            <val>1.6988000000000001</val>
          </value>
        </values>
      </ddeItem>
      <ddeItem name="GBPCHF" advise="1">
        <values>
          <value>
            <val>1.2097500000000001</val>
          </value>
        </values>
      </ddeItem>
      <ddeItem name="GBPJPY" advise="1">
        <values>
          <value>
            <val>135.5</val>
          </value>
        </values>
      </ddeItem>
      <ddeItem name="GBPNZD" advise="1">
        <values>
          <value>
            <val>2.0001099999999998</val>
          </value>
        </values>
      </ddeItem>
      <ddeItem name="GBPUSD" advise="1">
        <values>
          <value>
            <val>1.25762</val>
          </value>
        </values>
      </ddeItem>
      <ddeItem name="NZDCAD" advise="1">
        <values>
          <value>
            <val>0.85543000000000002</val>
          </value>
        </values>
      </ddeItem>
      <ddeItem name="NZDCHF" advise="1">
        <values>
          <value>
            <val>0.60785999999999996</val>
          </value>
        </values>
      </ddeItem>
      <ddeItem name="NZDJPY" advise="1">
        <values>
          <value>
            <val>68.072000000000003</val>
          </value>
        </values>
      </ddeItem>
      <ddeItem name="NZDUSD" advise="1">
        <values>
          <value>
            <val>0.63180999999999998</val>
          </value>
        </values>
      </ddeItem>
      <ddeItem name="StdDocumentName" ole="1" advise="1"/>
      <ddeItem name="USDCAD" advise="1">
        <values>
          <value>
            <val>1.3585199999999999</val>
          </value>
        </values>
      </ddeItem>
      <ddeItem name="USDCHF" advise="1">
        <values>
          <value>
            <val>0.96297999999999995</val>
          </value>
        </values>
      </ddeItem>
      <ddeItem name="USDJPY" advise="1">
        <values>
          <value>
            <val>107.836</val>
          </value>
        </values>
      </ddeItem>
      <ddeItem name="USDSGD" advise="1">
        <values>
          <value>
            <val>1.4085399999999999</val>
          </value>
        </values>
      </ddeItem>
      <ddeItem name="XAUUSD" advise="1">
        <values>
          <value>
            <val>1743.23</val>
          </value>
        </values>
      </ddeItem>
    </ddeItems>
  </ddeLin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QUOTE">
    <ddeItems>
      <ddeItem name="AUDCAD" advise="1">
        <values cols="3">
          <value>
            <val>2020</val>
          </value>
          <value>
            <val>6</val>
          </value>
          <value t="str">
            <val>02 13:45:16 0.92646 0.92650</val>
          </value>
        </values>
      </ddeItem>
      <ddeItem name="AUDCHF" advise="1">
        <values cols="3">
          <value>
            <val>2020</val>
          </value>
          <value>
            <val>6</val>
          </value>
          <value t="str">
            <val>02 13:45:15 0.65917 0.65921</val>
          </value>
        </values>
      </ddeItem>
      <ddeItem name="AUDJPY" advise="1">
        <values cols="3">
          <value>
            <val>2020</val>
          </value>
          <value>
            <val>6</val>
          </value>
          <value t="str">
            <val>02 13:45:10 73.856 73.859</val>
          </value>
        </values>
      </ddeItem>
      <ddeItem name="AUDNZD" advise="1">
        <values cols="3">
          <value>
            <val>2020</val>
          </value>
          <value>
            <val>6</val>
          </value>
          <value t="str">
            <val>02 13:45:07 1.08544 1.08551</val>
          </value>
        </values>
      </ddeItem>
      <ddeItem name="AUDUSD" advise="1">
        <values cols="3">
          <value>
            <val>2020</val>
          </value>
          <value>
            <val>6</val>
          </value>
          <value t="str">
            <val>02 13:45:00 0.68541 0.68543</val>
          </value>
        </values>
      </ddeItem>
      <ddeItem name="CADCHF" advise="1">
        <values cols="3">
          <value>
            <val>2020</val>
          </value>
          <value>
            <val>6</val>
          </value>
          <value t="str">
            <val>02 13:45:15 0.71150 0.71152</val>
          </value>
        </values>
      </ddeItem>
      <ddeItem name="CADJPY" advise="1">
        <values cols="3">
          <value>
            <val>2020</val>
          </value>
          <value>
            <val>6</val>
          </value>
          <value t="str">
            <val>02 13:45:13 79.717 79.719</val>
          </value>
        </values>
      </ddeItem>
      <ddeItem name="CHFJPY" advise="1">
        <values cols="3">
          <value>
            <val>2020</val>
          </value>
          <value>
            <val>6</val>
          </value>
          <value t="str">
            <val>02 13:45:15 112.040 112.046</val>
          </value>
        </values>
      </ddeItem>
      <ddeItem name="EURAUD" advise="1">
        <values cols="3">
          <value>
            <val>2020</val>
          </value>
          <value>
            <val>6</val>
          </value>
          <value t="str">
            <val>02 13:45:16 1.62944 1.62949</val>
          </value>
        </values>
      </ddeItem>
      <ddeItem name="EURCAD" advise="1">
        <values cols="3">
          <value>
            <val>2020</val>
          </value>
          <value>
            <val>6</val>
          </value>
          <value t="str">
            <val>02 13:45:16 1.50963 1.50971</val>
          </value>
        </values>
      </ddeItem>
      <ddeItem name="EURCHF" advise="1">
        <values cols="3">
          <value>
            <val>2020</val>
          </value>
          <value>
            <val>6</val>
          </value>
          <value t="str">
            <val>02 13:45:16 1.07411 1.07414</val>
          </value>
        </values>
      </ddeItem>
      <ddeItem name="EURGBP" advise="1">
        <values cols="3">
          <value>
            <val>2020</val>
          </value>
          <value>
            <val>6</val>
          </value>
          <value t="str">
            <val>02 13:45:14 0.88884 0.88886</val>
          </value>
        </values>
      </ddeItem>
      <ddeItem name="EURJPY" advise="1">
        <values cols="3">
          <value>
            <val>2020</val>
          </value>
          <value>
            <val>6</val>
          </value>
          <value t="str">
            <val>02 13:45:16 120.347 120.348</val>
          </value>
        </values>
      </ddeItem>
      <ddeItem name="EURNZD" advise="1">
        <values cols="3">
          <value>
            <val>2020</val>
          </value>
          <value>
            <val>6</val>
          </value>
          <value t="str">
            <val>02 13:45:16 1.76874 1.76880</val>
          </value>
        </values>
      </ddeItem>
      <ddeItem name="EURUSD" advise="1">
        <values cols="3">
          <value>
            <val>2020</val>
          </value>
          <value>
            <val>6</val>
          </value>
          <value t="str">
            <val>02 13:45:16 1.11686 1.11686</val>
          </value>
        </values>
      </ddeItem>
      <ddeItem name="GBPAUD" advise="1">
        <values cols="3">
          <value>
            <val>2020</val>
          </value>
          <value>
            <val>6</val>
          </value>
          <value t="str">
            <val>02 13:45:16 1.83323 1.83333</val>
          </value>
        </values>
      </ddeItem>
      <ddeItem name="GBPCAD" advise="1">
        <values cols="3">
          <value>
            <val>2020</val>
          </value>
          <value>
            <val>6</val>
          </value>
          <value t="str">
            <val>02 13:45:16 1.69845 1.69852</val>
          </value>
        </values>
      </ddeItem>
      <ddeItem name="GBPCHF" advise="1">
        <values cols="3">
          <value>
            <val>2020</val>
          </value>
          <value>
            <val>6</val>
          </value>
          <value t="str">
            <val>02 13:45:16 1.20844 1.20852</val>
          </value>
        </values>
      </ddeItem>
      <ddeItem name="GBPJPY" advise="1">
        <values cols="3">
          <value>
            <val>2020</val>
          </value>
          <value>
            <val>6</val>
          </value>
          <value t="str">
            <val>02 13:45:16 135.400 135.402</val>
          </value>
        </values>
      </ddeItem>
      <ddeItem name="GBPNZD" advise="1">
        <values cols="3">
          <value>
            <val>2020</val>
          </value>
          <value>
            <val>6</val>
          </value>
          <value t="str">
            <val>02 13:45:16 1.98991 1.99010</val>
          </value>
        </values>
      </ddeItem>
      <ddeItem name="GBPUSD" advise="1">
        <values cols="3">
          <value>
            <val>2020</val>
          </value>
          <value>
            <val>6</val>
          </value>
          <value t="str">
            <val>02 13:45:16 1.25656 1.25656</val>
          </value>
        </values>
      </ddeItem>
      <ddeItem name="NZDCAD" advise="1">
        <values cols="3">
          <value>
            <val>2020</val>
          </value>
          <value>
            <val>6</val>
          </value>
          <value t="str">
            <val>02 13:45:16 0.85346 0.85354</val>
          </value>
        </values>
      </ddeItem>
      <ddeItem name="NZDCHF" advise="1">
        <values cols="3">
          <value>
            <val>2020</val>
          </value>
          <value>
            <val>6</val>
          </value>
          <value t="str">
            <val>02 13:45:16 0.60727 0.60729</val>
          </value>
        </values>
      </ddeItem>
      <ddeItem name="NZDJPY" advise="1">
        <values cols="3">
          <value>
            <val>2020</val>
          </value>
          <value>
            <val>6</val>
          </value>
          <value t="str">
            <val>02 13:45:14 68.039 68.043</val>
          </value>
        </values>
      </ddeItem>
      <ddeItem name="NZDUSD" advise="1">
        <values cols="3">
          <value>
            <val>2020</val>
          </value>
          <value>
            <val>6</val>
          </value>
          <value t="str">
            <val>02 13:45:14 0.63142 0.63143</val>
          </value>
        </values>
      </ddeItem>
      <ddeItem name="StdDocumentName" ole="1" advise="1"/>
      <ddeItem name="USDCAD" advise="1">
        <values cols="3">
          <value>
            <val>2020</val>
          </value>
          <value>
            <val>6</val>
          </value>
          <value t="str">
            <val>02 13:45:13 1.35168 1.35172</val>
          </value>
        </values>
      </ddeItem>
      <ddeItem name="USDCHF" advise="1">
        <values cols="3">
          <value>
            <val>2020</val>
          </value>
          <value>
            <val>6</val>
          </value>
          <value t="str">
            <val>02 13:45:15 0.96171 0.96173</val>
          </value>
        </values>
      </ddeItem>
      <ddeItem name="USDJPY" advise="1">
        <values cols="3">
          <value>
            <val>2020</val>
          </value>
          <value>
            <val>6</val>
          </value>
          <value t="str">
            <val>02 13:45:10 107.756 107.756</val>
          </value>
        </values>
      </ddeItem>
      <ddeItem name="USDSGD" advise="1">
        <values cols="3">
          <value>
            <val>2020</val>
          </value>
          <value>
            <val>6</val>
          </value>
          <value t="str">
            <val>02 13:45:11 1.40169 1.40174</val>
          </value>
        </values>
      </ddeItem>
      <ddeItem name="XAUUSD" advise="1">
        <values cols="3">
          <value>
            <val>2020</val>
          </value>
          <value>
            <val>6</val>
          </value>
          <value t="str">
            <val>02 13:45:15 1738.87 1739.14</val>
          </value>
        </values>
      </ddeItem>
    </ddeItems>
  </ddeLin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4"/>
  <dimension ref="A1:X57"/>
  <sheetViews>
    <sheetView zoomScaleNormal="100" workbookViewId="0">
      <selection activeCell="K35" sqref="K35"/>
    </sheetView>
  </sheetViews>
  <sheetFormatPr defaultColWidth="9.109375" defaultRowHeight="16.5" customHeight="1" x14ac:dyDescent="0.3"/>
  <cols>
    <col min="1" max="1" width="2.6640625" style="124" customWidth="1"/>
    <col min="2" max="2" width="3.109375" style="143" customWidth="1"/>
    <col min="3" max="3" width="4.21875" style="124" customWidth="1"/>
    <col min="4" max="4" width="10.44140625" style="124" customWidth="1"/>
    <col min="5" max="5" width="2.77734375" style="124" customWidth="1"/>
    <col min="6" max="6" width="8.77734375" style="140" bestFit="1" customWidth="1"/>
    <col min="7" max="7" width="4.88671875" style="143" customWidth="1"/>
    <col min="8" max="8" width="8.77734375" style="124" customWidth="1"/>
    <col min="9" max="9" width="8.77734375" style="150" customWidth="1"/>
    <col min="10" max="10" width="2.77734375" style="126" customWidth="1"/>
    <col min="11" max="11" width="10.21875" style="140" customWidth="1"/>
    <col min="12" max="12" width="5.21875" style="154" bestFit="1" customWidth="1"/>
    <col min="13" max="13" width="6.33203125" style="132" customWidth="1"/>
    <col min="14" max="14" width="9.77734375" style="132" customWidth="1"/>
    <col min="15" max="15" width="5.21875" style="126" bestFit="1" customWidth="1"/>
    <col min="16" max="16" width="9.77734375" style="148" customWidth="1"/>
    <col min="17" max="17" width="6.5546875" style="148" customWidth="1"/>
    <col min="18" max="18" width="5.21875" style="149" bestFit="1" customWidth="1"/>
    <col min="19" max="19" width="9.33203125" style="150" customWidth="1"/>
    <col min="20" max="20" width="2.77734375" style="143" customWidth="1"/>
    <col min="21" max="21" width="13.33203125" style="152" bestFit="1" customWidth="1"/>
    <col min="22" max="22" width="11.44140625" style="143" customWidth="1"/>
    <col min="23" max="23" width="3.109375" style="143" customWidth="1"/>
    <col min="24" max="16384" width="9.109375" style="124"/>
  </cols>
  <sheetData>
    <row r="1" spans="1:24" ht="16.5" customHeight="1" x14ac:dyDescent="0.3">
      <c r="A1" s="227"/>
      <c r="B1" s="303" t="s">
        <v>50</v>
      </c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5"/>
      <c r="X1" s="159"/>
    </row>
    <row r="2" spans="1:24" ht="16.5" customHeight="1" x14ac:dyDescent="0.3">
      <c r="A2" s="158"/>
      <c r="B2" s="306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8"/>
      <c r="X2" s="159"/>
    </row>
    <row r="3" spans="1:24" ht="16.5" customHeight="1" x14ac:dyDescent="0.3">
      <c r="A3" s="158"/>
      <c r="B3" s="312" t="s">
        <v>37</v>
      </c>
      <c r="C3" s="301"/>
      <c r="D3" s="301"/>
      <c r="E3" s="244"/>
      <c r="F3" s="245" t="s">
        <v>38</v>
      </c>
      <c r="G3" s="301" t="s">
        <v>41</v>
      </c>
      <c r="H3" s="301"/>
      <c r="I3" s="245" t="s">
        <v>39</v>
      </c>
      <c r="J3" s="246"/>
      <c r="K3" s="245" t="s">
        <v>5</v>
      </c>
      <c r="L3" s="299" t="s">
        <v>48</v>
      </c>
      <c r="M3" s="299"/>
      <c r="N3" s="299"/>
      <c r="O3" s="247" t="s">
        <v>49</v>
      </c>
      <c r="P3" s="300" t="s">
        <v>48</v>
      </c>
      <c r="Q3" s="300"/>
      <c r="R3" s="300"/>
      <c r="S3" s="245" t="s">
        <v>4</v>
      </c>
      <c r="T3" s="244"/>
      <c r="U3" s="248" t="s">
        <v>89</v>
      </c>
      <c r="V3" s="245" t="s">
        <v>92</v>
      </c>
      <c r="W3" s="249"/>
      <c r="X3" s="159"/>
    </row>
    <row r="4" spans="1:24" ht="16.5" customHeight="1" x14ac:dyDescent="0.3">
      <c r="A4" s="158"/>
      <c r="B4" s="309" t="s">
        <v>1</v>
      </c>
      <c r="C4" s="228">
        <v>1</v>
      </c>
      <c r="D4" s="160" t="s">
        <v>6</v>
      </c>
      <c r="E4" s="160"/>
      <c r="F4" s="229">
        <f>IFERROR(VLOOKUP(D4,'Data Feed'!$A$3:$F$30,3,FALSE),"")</f>
        <v>1.11686</v>
      </c>
      <c r="G4" s="302">
        <f>AVERAGE(H4:H10)</f>
        <v>0.12857142857163645</v>
      </c>
      <c r="H4" s="161">
        <f>IFERROR(VLOOKUP(D4,'Data Feed'!$A$3:$F$30,5,FALSE),"")</f>
        <v>0</v>
      </c>
      <c r="I4" s="230">
        <f>IFERROR(VLOOKUP(D4,'Data Feed'!$A$3:$F$30,4,FALSE),"")</f>
        <v>1.11686</v>
      </c>
      <c r="J4" s="231"/>
      <c r="K4" s="232">
        <f>IFERROR(VLOOKUP(D4,'Data Feed'!$A$3:$I$30,8,FALSE),"")</f>
        <v>1.1115200000000001</v>
      </c>
      <c r="L4" s="233">
        <f t="shared" ref="L4:L31" si="0">IFERROR(IF(ISNUMBER(SEARCH("JPY",D4)),((V4-K4)*100),((V4-K4)*10000)),"")</f>
        <v>53.399999999999004</v>
      </c>
      <c r="M4" s="234">
        <f t="shared" ref="M4:M31" si="1">1-L4/O4</f>
        <v>0.2644628099173737</v>
      </c>
      <c r="N4" s="235" t="str">
        <f>IFERROR(IF(M4&gt;50%,M4*-1,""),"")</f>
        <v/>
      </c>
      <c r="O4" s="236">
        <f t="shared" ref="O4:O31" si="2">IFERROR(IF(ISNUMBER(SEARCH("JPY",D4)),((S4-K4)*100),((S4-K4)*10000)),"")</f>
        <v>72.600000000000449</v>
      </c>
      <c r="P4" s="237">
        <f>IFERROR(IF(Q4&gt;50%,Q4,""),"")</f>
        <v>0.73553719008262641</v>
      </c>
      <c r="Q4" s="238">
        <f t="shared" ref="Q4:Q31" si="3">1-R4/O4</f>
        <v>0.73553719008262641</v>
      </c>
      <c r="R4" s="239">
        <f t="shared" ref="R4:R31" si="4">IFERROR(IF(ISNUMBER(SEARCH("JPY",D4)),((S4-V4)*100),((S4-V4)*10000)),"")</f>
        <v>19.200000000001438</v>
      </c>
      <c r="S4" s="240">
        <f>IFERROR(VLOOKUP(D4,'Data Feed'!$A$3:$I$30,9,FALSE),"")</f>
        <v>1.1187800000000001</v>
      </c>
      <c r="T4" s="241"/>
      <c r="U4" s="242">
        <f>IFERROR(VLOOKUP(D4,'Data Feed'!A:I,2,FALSE),"")</f>
        <v>2020</v>
      </c>
      <c r="V4" s="243">
        <f t="shared" ref="V4:V31" si="5">(F4+I4)/2</f>
        <v>1.11686</v>
      </c>
      <c r="W4" s="309" t="s">
        <v>1</v>
      </c>
      <c r="X4" s="159"/>
    </row>
    <row r="5" spans="1:24" ht="16.5" customHeight="1" x14ac:dyDescent="0.3">
      <c r="A5" s="158"/>
      <c r="B5" s="310"/>
      <c r="C5" s="225">
        <v>2</v>
      </c>
      <c r="D5" s="124" t="s">
        <v>27</v>
      </c>
      <c r="F5" s="125">
        <f>IFERROR(VLOOKUP(D5,'Data Feed'!$A$3:$F$30,3,FALSE),"")</f>
        <v>0.96170999999999995</v>
      </c>
      <c r="G5" s="287"/>
      <c r="H5" s="126">
        <f>IFERROR(VLOOKUP(D5,'Data Feed'!$A$3:$F$30,5,FALSE),"")</f>
        <v>0.20000000000020002</v>
      </c>
      <c r="I5" s="127">
        <f>IFERROR(VLOOKUP(D5,'Data Feed'!$A$3:$F$30,4,FALSE),"")</f>
        <v>0.96172999999999997</v>
      </c>
      <c r="J5" s="128"/>
      <c r="K5" s="129">
        <f>IFERROR(VLOOKUP(D5,'Data Feed'!$A$3:$I$30,8,FALSE),"")</f>
        <v>0.95730999999999999</v>
      </c>
      <c r="L5" s="130">
        <f t="shared" si="0"/>
        <v>44.099999999999142</v>
      </c>
      <c r="M5" s="131">
        <f t="shared" si="1"/>
        <v>0.22222222222223087</v>
      </c>
      <c r="N5" s="132" t="str">
        <f>IFERROR(IF(M5&gt;50%,M5*-1,""),"")</f>
        <v/>
      </c>
      <c r="O5" s="133">
        <f t="shared" si="2"/>
        <v>56.699999999999527</v>
      </c>
      <c r="P5" s="134">
        <f>IFERROR(IF(Q5&gt;50%,Q5,""),"")</f>
        <v>0.77777777777776902</v>
      </c>
      <c r="Q5" s="135">
        <f t="shared" si="3"/>
        <v>0.77777777777776902</v>
      </c>
      <c r="R5" s="136">
        <f t="shared" si="4"/>
        <v>12.600000000000389</v>
      </c>
      <c r="S5" s="137">
        <f>IFERROR(VLOOKUP(D5,'Data Feed'!$A$3:$I$30,9,FALSE),"")</f>
        <v>0.96297999999999995</v>
      </c>
      <c r="T5" s="138"/>
      <c r="U5" s="139">
        <f>IFERROR(VLOOKUP(D5,'Data Feed'!A:I,2,FALSE),"")</f>
        <v>2020</v>
      </c>
      <c r="V5" s="179">
        <f t="shared" si="5"/>
        <v>0.96171999999999991</v>
      </c>
      <c r="W5" s="310"/>
      <c r="X5" s="159"/>
    </row>
    <row r="6" spans="1:24" ht="16.5" customHeight="1" x14ac:dyDescent="0.3">
      <c r="A6" s="158"/>
      <c r="B6" s="310"/>
      <c r="C6" s="225">
        <v>3</v>
      </c>
      <c r="D6" s="140" t="s">
        <v>25</v>
      </c>
      <c r="E6" s="140"/>
      <c r="F6" s="125">
        <f>IFERROR(VLOOKUP(D6,'Data Feed'!$A$3:$F$30,3,FALSE),"")</f>
        <v>1.2565599999999999</v>
      </c>
      <c r="G6" s="287"/>
      <c r="H6" s="126">
        <f>IFERROR(VLOOKUP(D6,'Data Feed'!$A$3:$F$30,5,FALSE),"")</f>
        <v>0</v>
      </c>
      <c r="I6" s="127">
        <f>IFERROR(VLOOKUP(D6,'Data Feed'!$A$3:$F$30,4,FALSE),"")</f>
        <v>1.2565599999999999</v>
      </c>
      <c r="J6" s="128"/>
      <c r="K6" s="129">
        <f>IFERROR(VLOOKUP(D6,'Data Feed'!$A$3:$I$30,8,FALSE),"")</f>
        <v>1.2478499999999999</v>
      </c>
      <c r="L6" s="130">
        <f t="shared" si="0"/>
        <v>87.099999999999952</v>
      </c>
      <c r="M6" s="131">
        <f t="shared" si="1"/>
        <v>0.1084953940634652</v>
      </c>
      <c r="N6" s="132" t="str">
        <f t="shared" ref="N6:N31" si="6">IFERROR(IF(M6&gt;50%,M6*-1,""),"")</f>
        <v/>
      </c>
      <c r="O6" s="133">
        <f t="shared" si="2"/>
        <v>97.700000000000557</v>
      </c>
      <c r="P6" s="134">
        <f t="shared" ref="P6:P31" si="7">IFERROR(IF(Q6&gt;50%,Q6,""),"")</f>
        <v>0.8915046059365348</v>
      </c>
      <c r="Q6" s="135">
        <f t="shared" si="3"/>
        <v>0.8915046059365348</v>
      </c>
      <c r="R6" s="136">
        <f t="shared" si="4"/>
        <v>10.600000000000609</v>
      </c>
      <c r="S6" s="137">
        <f>IFERROR(VLOOKUP(D6,'Data Feed'!$A$3:$I$30,9,FALSE),"")</f>
        <v>1.25762</v>
      </c>
      <c r="T6" s="138"/>
      <c r="U6" s="139">
        <f>IFERROR(VLOOKUP(D6,'Data Feed'!A:I,2,FALSE),"")</f>
        <v>2020</v>
      </c>
      <c r="V6" s="179">
        <f t="shared" si="5"/>
        <v>1.2565599999999999</v>
      </c>
      <c r="W6" s="310"/>
      <c r="X6" s="159"/>
    </row>
    <row r="7" spans="1:24" ht="16.5" customHeight="1" x14ac:dyDescent="0.3">
      <c r="A7" s="158"/>
      <c r="B7" s="310"/>
      <c r="C7" s="225">
        <v>4</v>
      </c>
      <c r="D7" s="124" t="s">
        <v>17</v>
      </c>
      <c r="F7" s="125">
        <f>IFERROR(VLOOKUP(D7,'Data Feed'!$A$3:$F$30,3,FALSE),"")</f>
        <v>107.756</v>
      </c>
      <c r="G7" s="287"/>
      <c r="H7" s="126">
        <f>IFERROR(VLOOKUP(D7,'Data Feed'!$A$3:$F$30,5,FALSE),"")</f>
        <v>0</v>
      </c>
      <c r="I7" s="141">
        <f>IFERROR(VLOOKUP(D7,'Data Feed'!$A$3:$F$30,4,FALSE),"")</f>
        <v>107.756</v>
      </c>
      <c r="J7" s="128"/>
      <c r="K7" s="129">
        <f>IFERROR(VLOOKUP(D7,'Data Feed'!$A$3:$I$30,8,FALSE),"")</f>
        <v>107.514</v>
      </c>
      <c r="L7" s="130">
        <f t="shared" si="0"/>
        <v>24.200000000000443</v>
      </c>
      <c r="M7" s="131">
        <f t="shared" si="1"/>
        <v>0.24844720496893669</v>
      </c>
      <c r="N7" s="132" t="str">
        <f t="shared" si="6"/>
        <v/>
      </c>
      <c r="O7" s="133">
        <f t="shared" si="2"/>
        <v>32.200000000000273</v>
      </c>
      <c r="P7" s="134">
        <f t="shared" si="7"/>
        <v>0.75155279503106331</v>
      </c>
      <c r="Q7" s="135">
        <f t="shared" si="3"/>
        <v>0.75155279503106331</v>
      </c>
      <c r="R7" s="136">
        <f t="shared" si="4"/>
        <v>7.9999999999998295</v>
      </c>
      <c r="S7" s="137">
        <f>IFERROR(VLOOKUP(D7,'Data Feed'!$A$3:$I$30,9,FALSE),"")</f>
        <v>107.836</v>
      </c>
      <c r="T7" s="142"/>
      <c r="U7" s="139">
        <f>IFERROR(VLOOKUP(D7,'Data Feed'!A:I,2,FALSE),"")</f>
        <v>2020</v>
      </c>
      <c r="V7" s="179">
        <f t="shared" si="5"/>
        <v>107.756</v>
      </c>
      <c r="W7" s="310"/>
      <c r="X7" s="159"/>
    </row>
    <row r="8" spans="1:24" ht="16.5" customHeight="1" x14ac:dyDescent="0.3">
      <c r="A8" s="158"/>
      <c r="B8" s="310"/>
      <c r="C8" s="225">
        <v>5</v>
      </c>
      <c r="D8" s="124" t="s">
        <v>26</v>
      </c>
      <c r="F8" s="125">
        <f>IFERROR(VLOOKUP(D8,'Data Feed'!$A$3:$F$30,3,FALSE),"")</f>
        <v>0.68540999999999996</v>
      </c>
      <c r="G8" s="287"/>
      <c r="H8" s="126">
        <f>IFERROR(VLOOKUP(D8,'Data Feed'!$A$3:$F$30,5,FALSE),"")</f>
        <v>0.20000000000020002</v>
      </c>
      <c r="I8" s="127">
        <f>IFERROR(VLOOKUP(D8,'Data Feed'!$A$3:$F$30,4,FALSE),"")</f>
        <v>0.68542999999999998</v>
      </c>
      <c r="J8" s="128"/>
      <c r="K8" s="129">
        <f>IFERROR(VLOOKUP(D8,'Data Feed'!$A$3:$I$30,8,FALSE),"")</f>
        <v>0.67749000000000004</v>
      </c>
      <c r="L8" s="130">
        <f t="shared" si="0"/>
        <v>79.299999999998818</v>
      </c>
      <c r="M8" s="131">
        <f t="shared" si="1"/>
        <v>0.15995762711865691</v>
      </c>
      <c r="N8" s="132" t="str">
        <f t="shared" si="6"/>
        <v/>
      </c>
      <c r="O8" s="133">
        <f t="shared" si="2"/>
        <v>94.400000000000034</v>
      </c>
      <c r="P8" s="134">
        <f t="shared" si="7"/>
        <v>0.84004237288134309</v>
      </c>
      <c r="Q8" s="135">
        <f t="shared" si="3"/>
        <v>0.84004237288134309</v>
      </c>
      <c r="R8" s="136">
        <f t="shared" si="4"/>
        <v>15.100000000001224</v>
      </c>
      <c r="S8" s="137">
        <f>IFERROR(VLOOKUP(D8,'Data Feed'!$A$3:$I$30,9,FALSE),"")</f>
        <v>0.68693000000000004</v>
      </c>
      <c r="T8" s="138"/>
      <c r="U8" s="139">
        <f>IFERROR(VLOOKUP(D8,'Data Feed'!A:I,2,FALSE),"")</f>
        <v>2020</v>
      </c>
      <c r="V8" s="179">
        <f t="shared" si="5"/>
        <v>0.68541999999999992</v>
      </c>
      <c r="W8" s="310"/>
      <c r="X8" s="159"/>
    </row>
    <row r="9" spans="1:24" ht="16.5" customHeight="1" x14ac:dyDescent="0.3">
      <c r="A9" s="158"/>
      <c r="B9" s="310"/>
      <c r="C9" s="225">
        <v>6</v>
      </c>
      <c r="D9" s="124" t="s">
        <v>12</v>
      </c>
      <c r="F9" s="125">
        <f>IFERROR(VLOOKUP(D9,'Data Feed'!$A$3:$F$30,3,FALSE),"")</f>
        <v>1.35168</v>
      </c>
      <c r="G9" s="287"/>
      <c r="H9" s="126">
        <f>IFERROR(VLOOKUP(D9,'Data Feed'!$A$3:$F$30,5,FALSE),"")</f>
        <v>0.40000000000040004</v>
      </c>
      <c r="I9" s="127">
        <f>IFERROR(VLOOKUP(D9,'Data Feed'!$A$3:$F$30,4,FALSE),"")</f>
        <v>1.35172</v>
      </c>
      <c r="J9" s="128"/>
      <c r="K9" s="129">
        <f>IFERROR(VLOOKUP(D9,'Data Feed'!$A$3:$I$30,8,FALSE),"")</f>
        <v>1.3493200000000001</v>
      </c>
      <c r="L9" s="130">
        <f t="shared" si="0"/>
        <v>23.800000000000487</v>
      </c>
      <c r="M9" s="131">
        <f t="shared" si="1"/>
        <v>0.74130434782607812</v>
      </c>
      <c r="N9" s="132">
        <f t="shared" si="6"/>
        <v>-0.74130434782607812</v>
      </c>
      <c r="O9" s="133">
        <f t="shared" si="2"/>
        <v>91.999999999998749</v>
      </c>
      <c r="P9" s="134" t="str">
        <f t="shared" si="7"/>
        <v/>
      </c>
      <c r="Q9" s="135">
        <f t="shared" si="3"/>
        <v>0.25869565217392199</v>
      </c>
      <c r="R9" s="136">
        <f t="shared" si="4"/>
        <v>68.199999999998255</v>
      </c>
      <c r="S9" s="137">
        <f>IFERROR(VLOOKUP(D9,'Data Feed'!$A$3:$I$30,9,FALSE),"")</f>
        <v>1.3585199999999999</v>
      </c>
      <c r="T9" s="138"/>
      <c r="U9" s="139">
        <f>IFERROR(VLOOKUP(D9,'Data Feed'!A:I,2,FALSE),"")</f>
        <v>2020</v>
      </c>
      <c r="V9" s="179">
        <f t="shared" si="5"/>
        <v>1.3517000000000001</v>
      </c>
      <c r="W9" s="310"/>
      <c r="X9" s="159"/>
    </row>
    <row r="10" spans="1:24" ht="16.5" customHeight="1" x14ac:dyDescent="0.3">
      <c r="A10" s="158"/>
      <c r="B10" s="311"/>
      <c r="C10" s="226">
        <v>7</v>
      </c>
      <c r="D10" s="180" t="s">
        <v>24</v>
      </c>
      <c r="E10" s="180"/>
      <c r="F10" s="181">
        <f>IFERROR(VLOOKUP(D10,'Data Feed'!$A$3:$F$30,3,FALSE),"")</f>
        <v>0.63141999999999998</v>
      </c>
      <c r="G10" s="288"/>
      <c r="H10" s="182">
        <f>IFERROR(VLOOKUP(D10,'Data Feed'!$A$3:$F$30,5,FALSE),"")</f>
        <v>0.10000000000065512</v>
      </c>
      <c r="I10" s="183">
        <f>IFERROR(VLOOKUP(D10,'Data Feed'!$A$3:$F$30,4,FALSE),"")</f>
        <v>0.63143000000000005</v>
      </c>
      <c r="J10" s="184"/>
      <c r="K10" s="185">
        <f>IFERROR(VLOOKUP(D10,'Data Feed'!$A$3:$I$30,8,FALSE),"")</f>
        <v>0.62629000000000001</v>
      </c>
      <c r="L10" s="186">
        <f t="shared" si="0"/>
        <v>51.350000000000009</v>
      </c>
      <c r="M10" s="187">
        <f t="shared" si="1"/>
        <v>6.9746376811588795E-2</v>
      </c>
      <c r="N10" s="188" t="str">
        <f t="shared" si="6"/>
        <v/>
      </c>
      <c r="O10" s="189">
        <f t="shared" si="2"/>
        <v>55.19999999999969</v>
      </c>
      <c r="P10" s="190">
        <f t="shared" si="7"/>
        <v>0.93025362318841109</v>
      </c>
      <c r="Q10" s="191">
        <f t="shared" si="3"/>
        <v>0.93025362318841109</v>
      </c>
      <c r="R10" s="192">
        <f t="shared" si="4"/>
        <v>3.849999999999687</v>
      </c>
      <c r="S10" s="193">
        <f>IFERROR(VLOOKUP(D10,'Data Feed'!$A$3:$I$30,9,FALSE),"")</f>
        <v>0.63180999999999998</v>
      </c>
      <c r="T10" s="194"/>
      <c r="U10" s="195">
        <f>IFERROR(VLOOKUP(D10,'Data Feed'!A:I,2,FALSE),"")</f>
        <v>2020</v>
      </c>
      <c r="V10" s="196">
        <f t="shared" si="5"/>
        <v>0.63142500000000001</v>
      </c>
      <c r="W10" s="311"/>
      <c r="X10" s="159"/>
    </row>
    <row r="11" spans="1:24" ht="16.5" customHeight="1" x14ac:dyDescent="0.3">
      <c r="A11" s="158"/>
      <c r="B11" s="289" t="s">
        <v>3</v>
      </c>
      <c r="C11" s="224">
        <v>8</v>
      </c>
      <c r="D11" s="162" t="s">
        <v>33</v>
      </c>
      <c r="E11" s="162"/>
      <c r="F11" s="163">
        <f>IFERROR(VLOOKUP(D11,'Data Feed'!$A$3:$F$30,3,FALSE),"")</f>
        <v>0.88883999999999996</v>
      </c>
      <c r="G11" s="286">
        <f>AVERAGE(H11:H15)</f>
        <v>0.48000000000070209</v>
      </c>
      <c r="H11" s="164">
        <f>IFERROR(VLOOKUP(D11,'Data Feed'!$A$3:$F$30,5,FALSE),"")</f>
        <v>0.20000000000020002</v>
      </c>
      <c r="I11" s="165">
        <f>IFERROR(VLOOKUP(D11,'Data Feed'!$A$3:$F$30,4,FALSE),"")</f>
        <v>0.88885999999999998</v>
      </c>
      <c r="J11" s="166"/>
      <c r="K11" s="167">
        <f>IFERROR(VLOOKUP(D11,'Data Feed'!$A$3:$I$30,8,FALSE),"")</f>
        <v>0.88666</v>
      </c>
      <c r="L11" s="168">
        <f t="shared" si="0"/>
        <v>21.899999999999142</v>
      </c>
      <c r="M11" s="169">
        <f t="shared" si="1"/>
        <v>0.5620000000000176</v>
      </c>
      <c r="N11" s="170">
        <f t="shared" si="6"/>
        <v>-0.5620000000000176</v>
      </c>
      <c r="O11" s="171">
        <f t="shared" si="2"/>
        <v>50.000000000000043</v>
      </c>
      <c r="P11" s="172" t="str">
        <f t="shared" si="7"/>
        <v/>
      </c>
      <c r="Q11" s="173">
        <f t="shared" si="3"/>
        <v>0.4379999999999824</v>
      </c>
      <c r="R11" s="174">
        <f t="shared" si="4"/>
        <v>28.100000000000904</v>
      </c>
      <c r="S11" s="175">
        <f>IFERROR(VLOOKUP(D11,'Data Feed'!$A$3:$I$30,9,FALSE),"")</f>
        <v>0.89166000000000001</v>
      </c>
      <c r="T11" s="176"/>
      <c r="U11" s="177">
        <f>IFERROR(VLOOKUP(D11,'Data Feed'!A:I,2,FALSE),"")</f>
        <v>2020</v>
      </c>
      <c r="V11" s="178">
        <f t="shared" si="5"/>
        <v>0.88884999999999992</v>
      </c>
      <c r="W11" s="289" t="s">
        <v>3</v>
      </c>
      <c r="X11" s="159"/>
    </row>
    <row r="12" spans="1:24" ht="16.5" customHeight="1" x14ac:dyDescent="0.3">
      <c r="A12" s="158"/>
      <c r="B12" s="290"/>
      <c r="C12" s="225">
        <v>9</v>
      </c>
      <c r="D12" s="124" t="s">
        <v>11</v>
      </c>
      <c r="F12" s="125">
        <f>IFERROR(VLOOKUP(D12,'Data Feed'!$A$3:$F$30,3,FALSE),"")</f>
        <v>1.62944</v>
      </c>
      <c r="G12" s="287"/>
      <c r="H12" s="126">
        <f>IFERROR(VLOOKUP(D12,'Data Feed'!$A$3:$F$30,5,FALSE),"")</f>
        <v>0.50000000000105516</v>
      </c>
      <c r="I12" s="127">
        <f>IFERROR(VLOOKUP(D12,'Data Feed'!$A$3:$F$30,4,FALSE),"")</f>
        <v>1.6294900000000001</v>
      </c>
      <c r="J12" s="128"/>
      <c r="K12" s="129">
        <f>IFERROR(VLOOKUP(D12,'Data Feed'!$A$3:$I$30,8,FALSE),"")</f>
        <v>1.6281099999999999</v>
      </c>
      <c r="L12" s="130">
        <f t="shared" si="0"/>
        <v>13.550000000002171</v>
      </c>
      <c r="M12" s="131">
        <f t="shared" si="1"/>
        <v>0.89992614475626242</v>
      </c>
      <c r="N12" s="132">
        <f t="shared" si="6"/>
        <v>-0.89992614475626242</v>
      </c>
      <c r="O12" s="133">
        <f t="shared" si="2"/>
        <v>135.40000000000109</v>
      </c>
      <c r="P12" s="134" t="str">
        <f t="shared" si="7"/>
        <v/>
      </c>
      <c r="Q12" s="135">
        <f t="shared" si="3"/>
        <v>0.10007385524373769</v>
      </c>
      <c r="R12" s="136">
        <f t="shared" si="4"/>
        <v>121.8499999999989</v>
      </c>
      <c r="S12" s="137">
        <f>IFERROR(VLOOKUP(D12,'Data Feed'!$A$3:$I$30,9,FALSE),"")</f>
        <v>1.6416500000000001</v>
      </c>
      <c r="T12" s="138"/>
      <c r="U12" s="139">
        <f>IFERROR(VLOOKUP(D12,'Data Feed'!A:I,2,FALSE),"")</f>
        <v>2020</v>
      </c>
      <c r="V12" s="179">
        <f t="shared" si="5"/>
        <v>1.6294650000000002</v>
      </c>
      <c r="W12" s="290"/>
      <c r="X12" s="159"/>
    </row>
    <row r="13" spans="1:24" ht="16.5" customHeight="1" x14ac:dyDescent="0.3">
      <c r="A13" s="158"/>
      <c r="B13" s="290"/>
      <c r="C13" s="225">
        <v>10</v>
      </c>
      <c r="D13" s="124" t="s">
        <v>15</v>
      </c>
      <c r="F13" s="125">
        <f>IFERROR(VLOOKUP(D13,'Data Feed'!$A$3:$F$30,3,FALSE),"")</f>
        <v>1.50963</v>
      </c>
      <c r="G13" s="287"/>
      <c r="H13" s="126">
        <f>IFERROR(VLOOKUP(D13,'Data Feed'!$A$3:$F$30,5,FALSE),"")</f>
        <v>0.80000000000080007</v>
      </c>
      <c r="I13" s="127">
        <f>IFERROR(VLOOKUP(D13,'Data Feed'!$A$3:$F$30,4,FALSE),"")</f>
        <v>1.5097100000000001</v>
      </c>
      <c r="J13" s="128"/>
      <c r="K13" s="129">
        <f>IFERROR(VLOOKUP(D13,'Data Feed'!$A$3:$I$30,8,FALSE),"")</f>
        <v>1.5054700000000001</v>
      </c>
      <c r="L13" s="130">
        <f t="shared" si="0"/>
        <v>41.999999999999815</v>
      </c>
      <c r="M13" s="131">
        <f t="shared" si="1"/>
        <v>0.31484502446981999</v>
      </c>
      <c r="N13" s="132" t="str">
        <f t="shared" si="6"/>
        <v/>
      </c>
      <c r="O13" s="133">
        <f t="shared" si="2"/>
        <v>61.299999999999685</v>
      </c>
      <c r="P13" s="134">
        <f t="shared" si="7"/>
        <v>0.6851549755301799</v>
      </c>
      <c r="Q13" s="135">
        <f t="shared" si="3"/>
        <v>0.6851549755301799</v>
      </c>
      <c r="R13" s="136">
        <f t="shared" si="4"/>
        <v>19.299999999999873</v>
      </c>
      <c r="S13" s="137">
        <f>IFERROR(VLOOKUP(D13,'Data Feed'!$A$3:$I$30,9,FALSE),"")</f>
        <v>1.5116000000000001</v>
      </c>
      <c r="T13" s="138"/>
      <c r="U13" s="139">
        <f>IFERROR(VLOOKUP(D13,'Data Feed'!A:I,2,FALSE),"")</f>
        <v>2020</v>
      </c>
      <c r="V13" s="179">
        <f t="shared" si="5"/>
        <v>1.5096700000000001</v>
      </c>
      <c r="W13" s="290"/>
      <c r="X13" s="159"/>
    </row>
    <row r="14" spans="1:24" ht="16.5" customHeight="1" x14ac:dyDescent="0.3">
      <c r="A14" s="158"/>
      <c r="B14" s="290"/>
      <c r="C14" s="225">
        <v>11</v>
      </c>
      <c r="D14" s="124" t="s">
        <v>30</v>
      </c>
      <c r="F14" s="125">
        <f>IFERROR(VLOOKUP(D14,'Data Feed'!$A$3:$F$30,3,FALSE),"")</f>
        <v>1.0741099999999999</v>
      </c>
      <c r="G14" s="287"/>
      <c r="H14" s="126">
        <f>IFERROR(VLOOKUP(D14,'Data Feed'!$A$3:$F$30,5,FALSE),"")</f>
        <v>0.30000000000196536</v>
      </c>
      <c r="I14" s="127">
        <f>IFERROR(VLOOKUP(D14,'Data Feed'!$A$3:$F$30,4,FALSE),"")</f>
        <v>1.0741400000000001</v>
      </c>
      <c r="J14" s="128"/>
      <c r="K14" s="129">
        <f>IFERROR(VLOOKUP(D14,'Data Feed'!$A$3:$I$30,8,FALSE),"")</f>
        <v>1.06856</v>
      </c>
      <c r="L14" s="130">
        <f t="shared" si="0"/>
        <v>55.650000000000418</v>
      </c>
      <c r="M14" s="131">
        <f t="shared" si="1"/>
        <v>0.28100775193798655</v>
      </c>
      <c r="N14" s="132" t="str">
        <f t="shared" si="6"/>
        <v/>
      </c>
      <c r="O14" s="133">
        <f t="shared" si="2"/>
        <v>77.400000000000801</v>
      </c>
      <c r="P14" s="134">
        <f t="shared" si="7"/>
        <v>0.71899224806201345</v>
      </c>
      <c r="Q14" s="135">
        <f t="shared" si="3"/>
        <v>0.71899224806201345</v>
      </c>
      <c r="R14" s="136">
        <f t="shared" si="4"/>
        <v>21.75000000000038</v>
      </c>
      <c r="S14" s="137">
        <f>IFERROR(VLOOKUP(D14,'Data Feed'!$A$3:$I$30,9,FALSE),"")</f>
        <v>1.0763</v>
      </c>
      <c r="T14" s="138"/>
      <c r="U14" s="139">
        <f>IFERROR(VLOOKUP(D14,'Data Feed'!A:I,2,FALSE),"")</f>
        <v>2020</v>
      </c>
      <c r="V14" s="179">
        <f t="shared" si="5"/>
        <v>1.074125</v>
      </c>
      <c r="W14" s="290"/>
      <c r="X14" s="159"/>
    </row>
    <row r="15" spans="1:24" ht="16.5" customHeight="1" x14ac:dyDescent="0.3">
      <c r="A15" s="158"/>
      <c r="B15" s="291"/>
      <c r="C15" s="226">
        <v>12</v>
      </c>
      <c r="D15" s="180" t="s">
        <v>8</v>
      </c>
      <c r="E15" s="180"/>
      <c r="F15" s="181">
        <f>IFERROR(VLOOKUP(D15,'Data Feed'!$A$3:$F$30,3,FALSE),"")</f>
        <v>1.76874</v>
      </c>
      <c r="G15" s="288"/>
      <c r="H15" s="182">
        <f>IFERROR(VLOOKUP(D15,'Data Feed'!$A$3:$F$30,5,FALSE),"")</f>
        <v>0.59999999999948983</v>
      </c>
      <c r="I15" s="183">
        <f>IFERROR(VLOOKUP(D15,'Data Feed'!$A$3:$F$30,4,FALSE),"")</f>
        <v>1.7687999999999999</v>
      </c>
      <c r="J15" s="184"/>
      <c r="K15" s="185">
        <f>IFERROR(VLOOKUP(D15,'Data Feed'!$A$3:$I$30,8,FALSE),"")</f>
        <v>1.7657</v>
      </c>
      <c r="L15" s="186">
        <f t="shared" si="0"/>
        <v>30.699999999999061</v>
      </c>
      <c r="M15" s="187">
        <f t="shared" si="1"/>
        <v>0.75121555915722027</v>
      </c>
      <c r="N15" s="188">
        <f t="shared" si="6"/>
        <v>-0.75121555915722027</v>
      </c>
      <c r="O15" s="189">
        <f t="shared" si="2"/>
        <v>123.40000000000018</v>
      </c>
      <c r="P15" s="190" t="str">
        <f t="shared" si="7"/>
        <v/>
      </c>
      <c r="Q15" s="191">
        <f t="shared" si="3"/>
        <v>0.24878444084277973</v>
      </c>
      <c r="R15" s="192">
        <f t="shared" si="4"/>
        <v>92.700000000001111</v>
      </c>
      <c r="S15" s="193">
        <f>IFERROR(VLOOKUP(D15,'Data Feed'!$A$3:$I$30,9,FALSE),"")</f>
        <v>1.7780400000000001</v>
      </c>
      <c r="T15" s="194"/>
      <c r="U15" s="195">
        <f>IFERROR(VLOOKUP(D15,'Data Feed'!A:I,2,FALSE),"")</f>
        <v>2020</v>
      </c>
      <c r="V15" s="196">
        <f t="shared" si="5"/>
        <v>1.76877</v>
      </c>
      <c r="W15" s="291"/>
      <c r="X15" s="159"/>
    </row>
    <row r="16" spans="1:24" ht="16.5" customHeight="1" x14ac:dyDescent="0.3">
      <c r="A16" s="158"/>
      <c r="B16" s="292" t="s">
        <v>2</v>
      </c>
      <c r="C16" s="224">
        <v>13</v>
      </c>
      <c r="D16" s="162" t="s">
        <v>10</v>
      </c>
      <c r="E16" s="162"/>
      <c r="F16" s="163">
        <f>IFERROR(VLOOKUP(D16,'Data Feed'!$A$3:$F$30,3,FALSE),"")</f>
        <v>1.8332299999999999</v>
      </c>
      <c r="G16" s="286">
        <f>AVERAGE(H16:H19)</f>
        <v>1.0999999999999899</v>
      </c>
      <c r="H16" s="164">
        <f>IFERROR(VLOOKUP(D16,'Data Feed'!$A$3:$F$30,5,FALSE),"")</f>
        <v>0.99999999999988987</v>
      </c>
      <c r="I16" s="165">
        <f>IFERROR(VLOOKUP(D16,'Data Feed'!$A$3:$F$30,4,FALSE),"")</f>
        <v>1.8333299999999999</v>
      </c>
      <c r="J16" s="166"/>
      <c r="K16" s="167">
        <f>IFERROR(VLOOKUP(D16,'Data Feed'!$A$3:$I$30,8,FALSE),"")</f>
        <v>1.8292200000000001</v>
      </c>
      <c r="L16" s="168">
        <f t="shared" si="0"/>
        <v>40.599999999997308</v>
      </c>
      <c r="M16" s="169">
        <f t="shared" si="1"/>
        <v>0.75258988421695783</v>
      </c>
      <c r="N16" s="170">
        <f t="shared" si="6"/>
        <v>-0.75258988421695783</v>
      </c>
      <c r="O16" s="171">
        <f t="shared" si="2"/>
        <v>164.10000000000036</v>
      </c>
      <c r="P16" s="172" t="str">
        <f t="shared" si="7"/>
        <v/>
      </c>
      <c r="Q16" s="173">
        <f t="shared" si="3"/>
        <v>0.24741011578304217</v>
      </c>
      <c r="R16" s="174">
        <f t="shared" si="4"/>
        <v>123.50000000000306</v>
      </c>
      <c r="S16" s="175">
        <f>IFERROR(VLOOKUP(D16,'Data Feed'!$A$3:$I$30,9,FALSE),"")</f>
        <v>1.8456300000000001</v>
      </c>
      <c r="T16" s="176"/>
      <c r="U16" s="177">
        <f>IFERROR(VLOOKUP(D16,'Data Feed'!A:I,2,FALSE),"")</f>
        <v>2020</v>
      </c>
      <c r="V16" s="178">
        <f t="shared" si="5"/>
        <v>1.8332799999999998</v>
      </c>
      <c r="W16" s="292" t="s">
        <v>2</v>
      </c>
      <c r="X16" s="159"/>
    </row>
    <row r="17" spans="1:24" ht="16.5" customHeight="1" x14ac:dyDescent="0.3">
      <c r="A17" s="158"/>
      <c r="B17" s="293"/>
      <c r="C17" s="225">
        <v>14</v>
      </c>
      <c r="D17" s="124" t="s">
        <v>14</v>
      </c>
      <c r="F17" s="125">
        <f>IFERROR(VLOOKUP(D17,'Data Feed'!$A$3:$F$30,3,FALSE),"")</f>
        <v>1.69845</v>
      </c>
      <c r="G17" s="287"/>
      <c r="H17" s="126">
        <f>IFERROR(VLOOKUP(D17,'Data Feed'!$A$3:$F$30,5,FALSE),"")</f>
        <v>0.70000000000014495</v>
      </c>
      <c r="I17" s="127">
        <f>IFERROR(VLOOKUP(D17,'Data Feed'!$A$3:$F$30,4,FALSE),"")</f>
        <v>1.69852</v>
      </c>
      <c r="J17" s="128"/>
      <c r="K17" s="129">
        <f>IFERROR(VLOOKUP(D17,'Data Feed'!$A$3:$I$30,8,FALSE),"")</f>
        <v>1.6906000000000001</v>
      </c>
      <c r="L17" s="130">
        <f t="shared" si="0"/>
        <v>78.849999999999199</v>
      </c>
      <c r="M17" s="131">
        <f t="shared" si="1"/>
        <v>3.8414634146349602E-2</v>
      </c>
      <c r="N17" s="132" t="str">
        <f t="shared" si="6"/>
        <v/>
      </c>
      <c r="O17" s="133">
        <f t="shared" si="2"/>
        <v>81.999999999999858</v>
      </c>
      <c r="P17" s="134">
        <f t="shared" si="7"/>
        <v>0.96158536585365051</v>
      </c>
      <c r="Q17" s="135">
        <f t="shared" si="3"/>
        <v>0.96158536585365051</v>
      </c>
      <c r="R17" s="136">
        <f t="shared" si="4"/>
        <v>3.1500000000006523</v>
      </c>
      <c r="S17" s="137">
        <f>IFERROR(VLOOKUP(D17,'Data Feed'!$A$3:$I$30,9,FALSE),"")</f>
        <v>1.6988000000000001</v>
      </c>
      <c r="T17" s="138"/>
      <c r="U17" s="139">
        <f>IFERROR(VLOOKUP(D17,'Data Feed'!A:I,2,FALSE),"")</f>
        <v>2020</v>
      </c>
      <c r="V17" s="179">
        <f t="shared" si="5"/>
        <v>1.698485</v>
      </c>
      <c r="W17" s="293"/>
      <c r="X17" s="159"/>
    </row>
    <row r="18" spans="1:24" ht="16.5" customHeight="1" x14ac:dyDescent="0.3">
      <c r="A18" s="158"/>
      <c r="B18" s="293"/>
      <c r="C18" s="225">
        <v>15</v>
      </c>
      <c r="D18" s="124" t="s">
        <v>29</v>
      </c>
      <c r="F18" s="125">
        <f>IFERROR(VLOOKUP(D18,'Data Feed'!$A$3:$F$30,3,FALSE),"")</f>
        <v>1.20844</v>
      </c>
      <c r="G18" s="287"/>
      <c r="H18" s="126">
        <f>IFERROR(VLOOKUP(D18,'Data Feed'!$A$3:$F$30,5,FALSE),"")</f>
        <v>0.80000000000080007</v>
      </c>
      <c r="I18" s="127">
        <f>IFERROR(VLOOKUP(D18,'Data Feed'!$A$3:$F$30,4,FALSE),"")</f>
        <v>1.20852</v>
      </c>
      <c r="J18" s="128"/>
      <c r="K18" s="129">
        <f>IFERROR(VLOOKUP(D18,'Data Feed'!$A$3:$I$30,8,FALSE),"")</f>
        <v>1.1994</v>
      </c>
      <c r="L18" s="130">
        <f t="shared" si="0"/>
        <v>90.79999999999977</v>
      </c>
      <c r="M18" s="131">
        <f t="shared" si="1"/>
        <v>0.12270531400967088</v>
      </c>
      <c r="N18" s="132" t="str">
        <f t="shared" si="6"/>
        <v/>
      </c>
      <c r="O18" s="133">
        <f t="shared" si="2"/>
        <v>103.50000000000081</v>
      </c>
      <c r="P18" s="134">
        <f t="shared" si="7"/>
        <v>0.877294685990329</v>
      </c>
      <c r="Q18" s="135">
        <f t="shared" si="3"/>
        <v>0.877294685990329</v>
      </c>
      <c r="R18" s="136">
        <f t="shared" si="4"/>
        <v>12.700000000001044</v>
      </c>
      <c r="S18" s="137">
        <f>IFERROR(VLOOKUP(D18,'Data Feed'!$A$3:$I$30,9,FALSE),"")</f>
        <v>1.2097500000000001</v>
      </c>
      <c r="T18" s="138"/>
      <c r="U18" s="139">
        <f>IFERROR(VLOOKUP(D18,'Data Feed'!A:I,2,FALSE),"")</f>
        <v>2020</v>
      </c>
      <c r="V18" s="179">
        <f t="shared" si="5"/>
        <v>1.20848</v>
      </c>
      <c r="W18" s="293"/>
      <c r="X18" s="159"/>
    </row>
    <row r="19" spans="1:24" ht="16.5" customHeight="1" x14ac:dyDescent="0.3">
      <c r="A19" s="158"/>
      <c r="B19" s="294"/>
      <c r="C19" s="226">
        <v>16</v>
      </c>
      <c r="D19" s="180" t="s">
        <v>7</v>
      </c>
      <c r="E19" s="180"/>
      <c r="F19" s="181">
        <f>IFERROR(VLOOKUP(D19,'Data Feed'!$A$3:$F$30,3,FALSE),"")</f>
        <v>1.9899100000000001</v>
      </c>
      <c r="G19" s="288"/>
      <c r="H19" s="182">
        <f>IFERROR(VLOOKUP(D19,'Data Feed'!$A$3:$F$30,5,FALSE),"")</f>
        <v>1.8999999999991246</v>
      </c>
      <c r="I19" s="183">
        <f>IFERROR(VLOOKUP(D19,'Data Feed'!$A$3:$F$30,4,FALSE),"")</f>
        <v>1.9901</v>
      </c>
      <c r="J19" s="184"/>
      <c r="K19" s="185">
        <f>IFERROR(VLOOKUP(D19,'Data Feed'!$A$3:$I$30,8,FALSE),"")</f>
        <v>1.98224</v>
      </c>
      <c r="L19" s="186">
        <f t="shared" si="0"/>
        <v>77.650000000000219</v>
      </c>
      <c r="M19" s="187">
        <f t="shared" si="1"/>
        <v>0.56547285954112514</v>
      </c>
      <c r="N19" s="188">
        <f t="shared" si="6"/>
        <v>-0.56547285954112514</v>
      </c>
      <c r="O19" s="189">
        <f t="shared" si="2"/>
        <v>178.69999999999831</v>
      </c>
      <c r="P19" s="190" t="str">
        <f t="shared" si="7"/>
        <v/>
      </c>
      <c r="Q19" s="191">
        <f t="shared" si="3"/>
        <v>0.43452714045887497</v>
      </c>
      <c r="R19" s="192">
        <f t="shared" si="4"/>
        <v>101.04999999999808</v>
      </c>
      <c r="S19" s="193">
        <f>IFERROR(VLOOKUP(D19,'Data Feed'!$A$3:$I$30,9,FALSE),"")</f>
        <v>2.0001099999999998</v>
      </c>
      <c r="T19" s="194"/>
      <c r="U19" s="195">
        <f>IFERROR(VLOOKUP(D19,'Data Feed'!A:I,2,FALSE),"")</f>
        <v>2020</v>
      </c>
      <c r="V19" s="196">
        <f t="shared" si="5"/>
        <v>1.990005</v>
      </c>
      <c r="W19" s="294"/>
      <c r="X19" s="159"/>
    </row>
    <row r="20" spans="1:24" ht="16.5" customHeight="1" x14ac:dyDescent="0.3">
      <c r="A20" s="158"/>
      <c r="B20" s="295" t="s">
        <v>0</v>
      </c>
      <c r="C20" s="224">
        <v>17</v>
      </c>
      <c r="D20" s="162" t="s">
        <v>20</v>
      </c>
      <c r="E20" s="162"/>
      <c r="F20" s="163">
        <f>IFERROR(VLOOKUP(D20,'Data Feed'!$A$3:$F$30,3,FALSE),"")</f>
        <v>120.34699999999999</v>
      </c>
      <c r="G20" s="286">
        <f>AVERAGE(H20:H25)</f>
        <v>0.2999999999997745</v>
      </c>
      <c r="H20" s="164">
        <f>IFERROR(VLOOKUP(D20,'Data Feed'!$A$3:$F$30,5,FALSE),"")</f>
        <v>0.10000000000047748</v>
      </c>
      <c r="I20" s="197">
        <f>IFERROR(VLOOKUP(D20,'Data Feed'!$A$3:$F$30,4,FALSE),"")</f>
        <v>120.348</v>
      </c>
      <c r="J20" s="166"/>
      <c r="K20" s="167">
        <f>IFERROR(VLOOKUP(D20,'Data Feed'!$A$3:$I$30,8,FALSE),"")</f>
        <v>119.624</v>
      </c>
      <c r="L20" s="168">
        <f t="shared" si="0"/>
        <v>72.350000000000136</v>
      </c>
      <c r="M20" s="169">
        <f t="shared" si="1"/>
        <v>0.2195253505933159</v>
      </c>
      <c r="N20" s="170" t="str">
        <f t="shared" si="6"/>
        <v/>
      </c>
      <c r="O20" s="171">
        <f t="shared" si="2"/>
        <v>92.700000000000671</v>
      </c>
      <c r="P20" s="172">
        <f t="shared" si="7"/>
        <v>0.7804746494066841</v>
      </c>
      <c r="Q20" s="173">
        <f t="shared" si="3"/>
        <v>0.7804746494066841</v>
      </c>
      <c r="R20" s="174">
        <f t="shared" si="4"/>
        <v>20.350000000000534</v>
      </c>
      <c r="S20" s="175">
        <f>IFERROR(VLOOKUP(D20,'Data Feed'!$A$3:$I$30,9,FALSE),"")</f>
        <v>120.551</v>
      </c>
      <c r="T20" s="198"/>
      <c r="U20" s="177">
        <f>IFERROR(VLOOKUP(D20,'Data Feed'!A:I,2,FALSE),"")</f>
        <v>2020</v>
      </c>
      <c r="V20" s="178">
        <f t="shared" si="5"/>
        <v>120.3475</v>
      </c>
      <c r="W20" s="295" t="s">
        <v>0</v>
      </c>
      <c r="X20" s="159"/>
    </row>
    <row r="21" spans="1:24" ht="16.5" customHeight="1" x14ac:dyDescent="0.3">
      <c r="A21" s="158"/>
      <c r="B21" s="296"/>
      <c r="C21" s="225">
        <v>18</v>
      </c>
      <c r="D21" s="124" t="s">
        <v>19</v>
      </c>
      <c r="F21" s="125">
        <f>IFERROR(VLOOKUP(D21,'Data Feed'!$A$3:$F$30,3,FALSE),"")</f>
        <v>135.4</v>
      </c>
      <c r="G21" s="287"/>
      <c r="H21" s="126">
        <f>IFERROR(VLOOKUP(D21,'Data Feed'!$A$3:$F$30,5,FALSE),"")</f>
        <v>0.1999999999981128</v>
      </c>
      <c r="I21" s="141">
        <f>IFERROR(VLOOKUP(D21,'Data Feed'!$A$3:$F$30,4,FALSE),"")</f>
        <v>135.40199999999999</v>
      </c>
      <c r="J21" s="128"/>
      <c r="K21" s="129">
        <f>IFERROR(VLOOKUP(D21,'Data Feed'!$A$3:$I$30,8,FALSE),"")</f>
        <v>134.21899999999999</v>
      </c>
      <c r="L21" s="130">
        <f t="shared" si="0"/>
        <v>118.20000000000164</v>
      </c>
      <c r="M21" s="131">
        <f t="shared" si="1"/>
        <v>7.7283372365331005E-2</v>
      </c>
      <c r="N21" s="132" t="str">
        <f t="shared" si="6"/>
        <v/>
      </c>
      <c r="O21" s="133">
        <f t="shared" si="2"/>
        <v>128.10000000000059</v>
      </c>
      <c r="P21" s="134">
        <f t="shared" si="7"/>
        <v>0.922716627634669</v>
      </c>
      <c r="Q21" s="135">
        <f t="shared" si="3"/>
        <v>0.922716627634669</v>
      </c>
      <c r="R21" s="136">
        <f t="shared" si="4"/>
        <v>9.8999999999989541</v>
      </c>
      <c r="S21" s="137">
        <f>IFERROR(VLOOKUP(D21,'Data Feed'!$A$3:$I$30,9,FALSE),"")</f>
        <v>135.5</v>
      </c>
      <c r="T21" s="142"/>
      <c r="U21" s="139">
        <f>IFERROR(VLOOKUP(D21,'Data Feed'!A:I,2,FALSE),"")</f>
        <v>2020</v>
      </c>
      <c r="V21" s="179">
        <f t="shared" si="5"/>
        <v>135.40100000000001</v>
      </c>
      <c r="W21" s="296"/>
      <c r="X21" s="159"/>
    </row>
    <row r="22" spans="1:24" ht="16.5" customHeight="1" x14ac:dyDescent="0.3">
      <c r="A22" s="158"/>
      <c r="B22" s="296"/>
      <c r="C22" s="225">
        <v>19</v>
      </c>
      <c r="D22" s="124" t="s">
        <v>23</v>
      </c>
      <c r="F22" s="125">
        <f>IFERROR(VLOOKUP(D22,'Data Feed'!$A$3:$F$30,3,FALSE),"")</f>
        <v>73.855999999999995</v>
      </c>
      <c r="G22" s="287"/>
      <c r="H22" s="126">
        <f>IFERROR(VLOOKUP(D22,'Data Feed'!$A$3:$F$30,5,FALSE),"")</f>
        <v>0.30000000000001137</v>
      </c>
      <c r="I22" s="141">
        <f>IFERROR(VLOOKUP(D22,'Data Feed'!$A$3:$F$30,4,FALSE),"")</f>
        <v>73.858999999999995</v>
      </c>
      <c r="J22" s="128"/>
      <c r="K22" s="129">
        <f>IFERROR(VLOOKUP(D22,'Data Feed'!$A$3:$I$30,8,FALSE),"")</f>
        <v>72.933000000000007</v>
      </c>
      <c r="L22" s="130">
        <f t="shared" si="0"/>
        <v>92.449999999998056</v>
      </c>
      <c r="M22" s="131">
        <f t="shared" si="1"/>
        <v>0.14239332096475865</v>
      </c>
      <c r="N22" s="132" t="str">
        <f t="shared" si="6"/>
        <v/>
      </c>
      <c r="O22" s="133">
        <f t="shared" si="2"/>
        <v>107.79999999999887</v>
      </c>
      <c r="P22" s="134">
        <f t="shared" si="7"/>
        <v>0.85760667903524135</v>
      </c>
      <c r="Q22" s="135">
        <f t="shared" si="3"/>
        <v>0.85760667903524135</v>
      </c>
      <c r="R22" s="136">
        <f t="shared" si="4"/>
        <v>15.350000000000819</v>
      </c>
      <c r="S22" s="137">
        <f>IFERROR(VLOOKUP(D22,'Data Feed'!$A$3:$I$30,9,FALSE),"")</f>
        <v>74.010999999999996</v>
      </c>
      <c r="T22" s="142"/>
      <c r="U22" s="139">
        <f>IFERROR(VLOOKUP(D22,'Data Feed'!A:I,2,FALSE),"")</f>
        <v>2020</v>
      </c>
      <c r="V22" s="179">
        <f t="shared" si="5"/>
        <v>73.857499999999987</v>
      </c>
      <c r="W22" s="296"/>
      <c r="X22" s="159"/>
    </row>
    <row r="23" spans="1:24" ht="16.5" customHeight="1" x14ac:dyDescent="0.3">
      <c r="A23" s="158"/>
      <c r="B23" s="296"/>
      <c r="C23" s="225">
        <v>20</v>
      </c>
      <c r="D23" s="124" t="s">
        <v>18</v>
      </c>
      <c r="F23" s="125">
        <f>IFERROR(VLOOKUP(D23,'Data Feed'!$A$3:$F$30,3,FALSE),"")</f>
        <v>68.039000000000001</v>
      </c>
      <c r="G23" s="287"/>
      <c r="H23" s="126">
        <f>IFERROR(VLOOKUP(D23,'Data Feed'!$A$3:$F$30,5,FALSE),"")</f>
        <v>0.40000000000048885</v>
      </c>
      <c r="I23" s="141">
        <f>IFERROR(VLOOKUP(D23,'Data Feed'!$A$3:$F$30,4,FALSE),"")</f>
        <v>68.043000000000006</v>
      </c>
      <c r="J23" s="128"/>
      <c r="K23" s="129">
        <f>IFERROR(VLOOKUP(D23,'Data Feed'!$A$3:$I$30,8,FALSE),"")</f>
        <v>67.515000000000001</v>
      </c>
      <c r="L23" s="130">
        <f t="shared" si="0"/>
        <v>52.599999999999625</v>
      </c>
      <c r="M23" s="131">
        <f t="shared" si="1"/>
        <v>5.5655296229812912E-2</v>
      </c>
      <c r="N23" s="132" t="str">
        <f t="shared" si="6"/>
        <v/>
      </c>
      <c r="O23" s="133">
        <f t="shared" si="2"/>
        <v>55.700000000000216</v>
      </c>
      <c r="P23" s="134">
        <f t="shared" si="7"/>
        <v>0.94434470377018709</v>
      </c>
      <c r="Q23" s="135">
        <f t="shared" si="3"/>
        <v>0.94434470377018709</v>
      </c>
      <c r="R23" s="136">
        <f t="shared" si="4"/>
        <v>3.1000000000005912</v>
      </c>
      <c r="S23" s="137">
        <f>IFERROR(VLOOKUP(D23,'Data Feed'!$A$3:$I$30,9,FALSE),"")</f>
        <v>68.072000000000003</v>
      </c>
      <c r="T23" s="142"/>
      <c r="U23" s="139">
        <f>IFERROR(VLOOKUP(D23,'Data Feed'!A:I,2,FALSE),"")</f>
        <v>2020</v>
      </c>
      <c r="V23" s="179">
        <f t="shared" si="5"/>
        <v>68.040999999999997</v>
      </c>
      <c r="W23" s="296"/>
      <c r="X23" s="159"/>
    </row>
    <row r="24" spans="1:24" ht="16.5" customHeight="1" x14ac:dyDescent="0.3">
      <c r="A24" s="158"/>
      <c r="B24" s="296"/>
      <c r="C24" s="225">
        <v>21</v>
      </c>
      <c r="D24" s="124" t="s">
        <v>22</v>
      </c>
      <c r="F24" s="125">
        <f>IFERROR(VLOOKUP(D24,'Data Feed'!$A$3:$F$30,3,FALSE),"")</f>
        <v>79.716999999999999</v>
      </c>
      <c r="G24" s="287"/>
      <c r="H24" s="126">
        <f>IFERROR(VLOOKUP(D24,'Data Feed'!$A$3:$F$30,5,FALSE),"")</f>
        <v>0.19999999999953388</v>
      </c>
      <c r="I24" s="141">
        <f>IFERROR(VLOOKUP(D24,'Data Feed'!$A$3:$F$30,4,FALSE),"")</f>
        <v>79.718999999999994</v>
      </c>
      <c r="J24" s="128"/>
      <c r="K24" s="129">
        <f>IFERROR(VLOOKUP(D24,'Data Feed'!$A$3:$I$30,8,FALSE),"")</f>
        <v>79.153999999999996</v>
      </c>
      <c r="L24" s="130">
        <f t="shared" si="0"/>
        <v>56.399999999999295</v>
      </c>
      <c r="M24" s="131">
        <f t="shared" si="1"/>
        <v>0.19772403982931641</v>
      </c>
      <c r="N24" s="132" t="str">
        <f t="shared" si="6"/>
        <v/>
      </c>
      <c r="O24" s="133">
        <f t="shared" si="2"/>
        <v>70.300000000000296</v>
      </c>
      <c r="P24" s="134">
        <f t="shared" si="7"/>
        <v>0.80227596017068359</v>
      </c>
      <c r="Q24" s="135">
        <f t="shared" si="3"/>
        <v>0.80227596017068359</v>
      </c>
      <c r="R24" s="136">
        <f t="shared" si="4"/>
        <v>13.900000000001</v>
      </c>
      <c r="S24" s="137">
        <f>IFERROR(VLOOKUP(D24,'Data Feed'!$A$3:$I$30,9,FALSE),"")</f>
        <v>79.856999999999999</v>
      </c>
      <c r="T24" s="142"/>
      <c r="U24" s="139">
        <f>IFERROR(VLOOKUP(D24,'Data Feed'!A:I,2,FALSE),"")</f>
        <v>2020</v>
      </c>
      <c r="V24" s="179">
        <f t="shared" si="5"/>
        <v>79.717999999999989</v>
      </c>
      <c r="W24" s="296"/>
      <c r="X24" s="159"/>
    </row>
    <row r="25" spans="1:24" ht="16.5" customHeight="1" x14ac:dyDescent="0.3">
      <c r="A25" s="158"/>
      <c r="B25" s="297"/>
      <c r="C25" s="226">
        <v>22</v>
      </c>
      <c r="D25" s="180" t="s">
        <v>21</v>
      </c>
      <c r="E25" s="180"/>
      <c r="F25" s="181">
        <f>IFERROR(VLOOKUP(D25,'Data Feed'!$A$3:$F$30,3,FALSE),"")</f>
        <v>112.04</v>
      </c>
      <c r="G25" s="288"/>
      <c r="H25" s="182">
        <f>IFERROR(VLOOKUP(D25,'Data Feed'!$A$3:$F$30,5,FALSE),"")</f>
        <v>0.60000000000002274</v>
      </c>
      <c r="I25" s="199">
        <f>IFERROR(VLOOKUP(D25,'Data Feed'!$A$3:$F$30,4,FALSE),"")</f>
        <v>112.04600000000001</v>
      </c>
      <c r="J25" s="184"/>
      <c r="K25" s="185">
        <f>IFERROR(VLOOKUP(D25,'Data Feed'!$A$3:$I$30,8,FALSE),"")</f>
        <v>111.818</v>
      </c>
      <c r="L25" s="186">
        <f t="shared" si="0"/>
        <v>22.500000000000853</v>
      </c>
      <c r="M25" s="187">
        <f t="shared" si="1"/>
        <v>0.69008264462808699</v>
      </c>
      <c r="N25" s="188">
        <f t="shared" si="6"/>
        <v>-0.69008264462808699</v>
      </c>
      <c r="O25" s="189">
        <f t="shared" si="2"/>
        <v>72.599999999999909</v>
      </c>
      <c r="P25" s="190" t="str">
        <f t="shared" si="7"/>
        <v/>
      </c>
      <c r="Q25" s="191">
        <f t="shared" si="3"/>
        <v>0.30991735537191301</v>
      </c>
      <c r="R25" s="192">
        <f t="shared" si="4"/>
        <v>50.099999999999056</v>
      </c>
      <c r="S25" s="193">
        <f>IFERROR(VLOOKUP(D25,'Data Feed'!$A$3:$I$30,9,FALSE),"")</f>
        <v>112.544</v>
      </c>
      <c r="T25" s="200"/>
      <c r="U25" s="195">
        <f>IFERROR(VLOOKUP(D25,'Data Feed'!A:I,2,FALSE),"")</f>
        <v>2020</v>
      </c>
      <c r="V25" s="196">
        <f t="shared" si="5"/>
        <v>112.04300000000001</v>
      </c>
      <c r="W25" s="297"/>
      <c r="X25" s="159"/>
    </row>
    <row r="26" spans="1:24" ht="16.5" customHeight="1" x14ac:dyDescent="0.3">
      <c r="A26" s="158"/>
      <c r="B26" s="283" t="s">
        <v>34</v>
      </c>
      <c r="C26" s="224">
        <v>23</v>
      </c>
      <c r="D26" s="162" t="s">
        <v>16</v>
      </c>
      <c r="E26" s="162"/>
      <c r="F26" s="163">
        <f>IFERROR(VLOOKUP(D26,'Data Feed'!$A$3:$F$30,3,FALSE),"")</f>
        <v>0.92645999999999995</v>
      </c>
      <c r="G26" s="286">
        <f>AVERAGE(H26:H31)</f>
        <v>0.44999999999998747</v>
      </c>
      <c r="H26" s="164">
        <f>IFERROR(VLOOKUP(D26,'Data Feed'!$A$3:$F$30,5,FALSE),"")</f>
        <v>0.40000000000040004</v>
      </c>
      <c r="I26" s="165">
        <f>IFERROR(VLOOKUP(D26,'Data Feed'!$A$3:$F$30,4,FALSE),"")</f>
        <v>0.92649999999999999</v>
      </c>
      <c r="J26" s="166"/>
      <c r="K26" s="167">
        <f>IFERROR(VLOOKUP(D26,'Data Feed'!$A$3:$I$30,8,FALSE),"")</f>
        <v>0.91927000000000003</v>
      </c>
      <c r="L26" s="168">
        <f t="shared" si="0"/>
        <v>72.099999999999383</v>
      </c>
      <c r="M26" s="169">
        <f t="shared" si="1"/>
        <v>0.11533742331288988</v>
      </c>
      <c r="N26" s="170" t="str">
        <f t="shared" si="6"/>
        <v/>
      </c>
      <c r="O26" s="171">
        <f t="shared" si="2"/>
        <v>81.499999999999901</v>
      </c>
      <c r="P26" s="172">
        <f t="shared" si="7"/>
        <v>0.88466257668711001</v>
      </c>
      <c r="Q26" s="173">
        <f t="shared" si="3"/>
        <v>0.88466257668711001</v>
      </c>
      <c r="R26" s="174">
        <f t="shared" si="4"/>
        <v>9.4000000000005191</v>
      </c>
      <c r="S26" s="175">
        <f>IFERROR(VLOOKUP(D26,'Data Feed'!$A$3:$I$30,9,FALSE),"")</f>
        <v>0.92742000000000002</v>
      </c>
      <c r="T26" s="176"/>
      <c r="U26" s="177">
        <f>IFERROR(VLOOKUP(D26,'Data Feed'!A:I,2,FALSE),"")</f>
        <v>2020</v>
      </c>
      <c r="V26" s="178">
        <f t="shared" si="5"/>
        <v>0.92647999999999997</v>
      </c>
      <c r="W26" s="283" t="s">
        <v>34</v>
      </c>
      <c r="X26" s="159"/>
    </row>
    <row r="27" spans="1:24" ht="16.5" customHeight="1" x14ac:dyDescent="0.3">
      <c r="A27" s="158"/>
      <c r="B27" s="284"/>
      <c r="C27" s="225">
        <v>24</v>
      </c>
      <c r="D27" s="124" t="s">
        <v>32</v>
      </c>
      <c r="F27" s="125">
        <f>IFERROR(VLOOKUP(D27,'Data Feed'!$A$3:$F$30,3,FALSE),"")</f>
        <v>0.65917000000000003</v>
      </c>
      <c r="G27" s="287"/>
      <c r="H27" s="126">
        <f>IFERROR(VLOOKUP(D27,'Data Feed'!$A$3:$F$30,5,FALSE),"")</f>
        <v>0.39999999999928981</v>
      </c>
      <c r="I27" s="127">
        <f>IFERROR(VLOOKUP(D27,'Data Feed'!$A$3:$F$30,4,FALSE),"")</f>
        <v>0.65920999999999996</v>
      </c>
      <c r="J27" s="128"/>
      <c r="K27" s="129">
        <f>IFERROR(VLOOKUP(D27,'Data Feed'!$A$3:$I$30,8,FALSE),"")</f>
        <v>0.65137999999999996</v>
      </c>
      <c r="L27" s="130">
        <f t="shared" si="0"/>
        <v>78.099999999999838</v>
      </c>
      <c r="M27" s="131">
        <f t="shared" si="1"/>
        <v>0.18730489073881607</v>
      </c>
      <c r="N27" s="132" t="str">
        <f t="shared" si="6"/>
        <v/>
      </c>
      <c r="O27" s="133">
        <f t="shared" si="2"/>
        <v>96.10000000000008</v>
      </c>
      <c r="P27" s="134">
        <f t="shared" si="7"/>
        <v>0.81269510926118393</v>
      </c>
      <c r="Q27" s="135">
        <f t="shared" si="3"/>
        <v>0.81269510926118393</v>
      </c>
      <c r="R27" s="136">
        <f t="shared" si="4"/>
        <v>18.000000000000238</v>
      </c>
      <c r="S27" s="137">
        <f>IFERROR(VLOOKUP(D27,'Data Feed'!$A$3:$I$30,9,FALSE),"")</f>
        <v>0.66098999999999997</v>
      </c>
      <c r="T27" s="138"/>
      <c r="U27" s="139">
        <f>IFERROR(VLOOKUP(D27,'Data Feed'!A:I,2,FALSE),"")</f>
        <v>2020</v>
      </c>
      <c r="V27" s="179">
        <f t="shared" si="5"/>
        <v>0.65918999999999994</v>
      </c>
      <c r="W27" s="284"/>
      <c r="X27" s="159"/>
    </row>
    <row r="28" spans="1:24" ht="16.5" customHeight="1" x14ac:dyDescent="0.3">
      <c r="A28" s="158"/>
      <c r="B28" s="284"/>
      <c r="C28" s="225">
        <v>25</v>
      </c>
      <c r="D28" s="124" t="s">
        <v>9</v>
      </c>
      <c r="F28" s="125">
        <f>IFERROR(VLOOKUP(D28,'Data Feed'!$A$3:$F$30,3,FALSE),"")</f>
        <v>1.08544</v>
      </c>
      <c r="G28" s="287"/>
      <c r="H28" s="126">
        <f>IFERROR(VLOOKUP(D28,'Data Feed'!$A$3:$F$30,5,FALSE),"")</f>
        <v>0.70000000000014495</v>
      </c>
      <c r="I28" s="127">
        <f>IFERROR(VLOOKUP(D28,'Data Feed'!$A$3:$F$30,4,FALSE),"")</f>
        <v>1.08551</v>
      </c>
      <c r="J28" s="128"/>
      <c r="K28" s="129">
        <f>IFERROR(VLOOKUP(D28,'Data Feed'!$A$3:$I$30,8,FALSE),"")</f>
        <v>1.07894</v>
      </c>
      <c r="L28" s="130">
        <f t="shared" si="0"/>
        <v>65.349999999999568</v>
      </c>
      <c r="M28" s="131">
        <f t="shared" si="1"/>
        <v>0.2842278203724099</v>
      </c>
      <c r="N28" s="132" t="str">
        <f t="shared" si="6"/>
        <v/>
      </c>
      <c r="O28" s="133">
        <f t="shared" si="2"/>
        <v>91.300000000000821</v>
      </c>
      <c r="P28" s="134">
        <f t="shared" si="7"/>
        <v>0.71577217962759021</v>
      </c>
      <c r="Q28" s="135">
        <f t="shared" si="3"/>
        <v>0.71577217962759021</v>
      </c>
      <c r="R28" s="136">
        <f t="shared" si="4"/>
        <v>25.95000000000125</v>
      </c>
      <c r="S28" s="137">
        <f>IFERROR(VLOOKUP(D28,'Data Feed'!$A$3:$I$30,9,FALSE),"")</f>
        <v>1.0880700000000001</v>
      </c>
      <c r="T28" s="138"/>
      <c r="U28" s="139">
        <f>IFERROR(VLOOKUP(D28,'Data Feed'!A:I,2,FALSE),"")</f>
        <v>2020</v>
      </c>
      <c r="V28" s="179">
        <f t="shared" si="5"/>
        <v>1.085475</v>
      </c>
      <c r="W28" s="284"/>
      <c r="X28" s="159"/>
    </row>
    <row r="29" spans="1:24" ht="16.5" customHeight="1" x14ac:dyDescent="0.3">
      <c r="A29" s="158"/>
      <c r="B29" s="284"/>
      <c r="C29" s="225">
        <v>26</v>
      </c>
      <c r="D29" s="124" t="s">
        <v>13</v>
      </c>
      <c r="F29" s="125">
        <f>IFERROR(VLOOKUP(D29,'Data Feed'!$A$3:$F$30,3,FALSE),"")</f>
        <v>0.85346</v>
      </c>
      <c r="G29" s="287"/>
      <c r="H29" s="126">
        <f>IFERROR(VLOOKUP(D29,'Data Feed'!$A$3:$F$30,5,FALSE),"")</f>
        <v>0.79999999999968985</v>
      </c>
      <c r="I29" s="127">
        <f>IFERROR(VLOOKUP(D29,'Data Feed'!$A$3:$F$30,4,FALSE),"")</f>
        <v>0.85353999999999997</v>
      </c>
      <c r="J29" s="128"/>
      <c r="K29" s="129">
        <f>IFERROR(VLOOKUP(D29,'Data Feed'!$A$3:$I$30,8,FALSE),"")</f>
        <v>0.84818000000000005</v>
      </c>
      <c r="L29" s="130">
        <f t="shared" si="0"/>
        <v>53.199999999998802</v>
      </c>
      <c r="M29" s="131">
        <f t="shared" si="1"/>
        <v>0.26620689655173846</v>
      </c>
      <c r="N29" s="132" t="str">
        <f t="shared" si="6"/>
        <v/>
      </c>
      <c r="O29" s="133">
        <f t="shared" si="2"/>
        <v>72.499999999999787</v>
      </c>
      <c r="P29" s="134">
        <f t="shared" si="7"/>
        <v>0.73379310344826143</v>
      </c>
      <c r="Q29" s="135">
        <f t="shared" si="3"/>
        <v>0.73379310344826143</v>
      </c>
      <c r="R29" s="136">
        <f t="shared" si="4"/>
        <v>19.300000000000985</v>
      </c>
      <c r="S29" s="137">
        <f>IFERROR(VLOOKUP(D29,'Data Feed'!$A$3:$I$30,9,FALSE),"")</f>
        <v>0.85543000000000002</v>
      </c>
      <c r="T29" s="138"/>
      <c r="U29" s="139">
        <f>IFERROR(VLOOKUP(D29,'Data Feed'!A:I,2,FALSE),"")</f>
        <v>2020</v>
      </c>
      <c r="V29" s="179">
        <f t="shared" si="5"/>
        <v>0.85349999999999993</v>
      </c>
      <c r="W29" s="284"/>
      <c r="X29" s="159"/>
    </row>
    <row r="30" spans="1:24" ht="16.5" customHeight="1" x14ac:dyDescent="0.3">
      <c r="A30" s="158"/>
      <c r="B30" s="284"/>
      <c r="C30" s="225">
        <v>27</v>
      </c>
      <c r="D30" s="124" t="s">
        <v>28</v>
      </c>
      <c r="F30" s="125">
        <f>IFERROR(VLOOKUP(D30,'Data Feed'!$A$3:$F$30,3,FALSE),"")</f>
        <v>0.60726999999999998</v>
      </c>
      <c r="G30" s="287"/>
      <c r="H30" s="126">
        <f>IFERROR(VLOOKUP(D30,'Data Feed'!$A$3:$F$30,5,FALSE),"")</f>
        <v>0.20000000000020002</v>
      </c>
      <c r="I30" s="127">
        <f>IFERROR(VLOOKUP(D30,'Data Feed'!$A$3:$F$30,4,FALSE),"")</f>
        <v>0.60729</v>
      </c>
      <c r="J30" s="128"/>
      <c r="K30" s="129">
        <f>IFERROR(VLOOKUP(D30,'Data Feed'!$A$3:$I$30,8,FALSE),"")</f>
        <v>0.60136999999999996</v>
      </c>
      <c r="L30" s="130">
        <f t="shared" si="0"/>
        <v>59.100000000000819</v>
      </c>
      <c r="M30" s="131">
        <f t="shared" si="1"/>
        <v>8.9368258859771177E-2</v>
      </c>
      <c r="N30" s="132" t="str">
        <f t="shared" si="6"/>
        <v/>
      </c>
      <c r="O30" s="133">
        <f t="shared" si="2"/>
        <v>64.899999999999963</v>
      </c>
      <c r="P30" s="134">
        <f t="shared" si="7"/>
        <v>0.91063174114022893</v>
      </c>
      <c r="Q30" s="135">
        <f t="shared" si="3"/>
        <v>0.91063174114022893</v>
      </c>
      <c r="R30" s="136">
        <f t="shared" si="4"/>
        <v>5.7999999999991392</v>
      </c>
      <c r="S30" s="137">
        <f>IFERROR(VLOOKUP(D30,'Data Feed'!$A$3:$I$30,9,FALSE),"")</f>
        <v>0.60785999999999996</v>
      </c>
      <c r="T30" s="138"/>
      <c r="U30" s="139">
        <f>IFERROR(VLOOKUP(D30,'Data Feed'!A:I,2,FALSE),"")</f>
        <v>2020</v>
      </c>
      <c r="V30" s="179">
        <f t="shared" si="5"/>
        <v>0.60728000000000004</v>
      </c>
      <c r="W30" s="284"/>
      <c r="X30" s="159"/>
    </row>
    <row r="31" spans="1:24" ht="16.5" customHeight="1" x14ac:dyDescent="0.3">
      <c r="A31" s="158"/>
      <c r="B31" s="285"/>
      <c r="C31" s="226">
        <v>28</v>
      </c>
      <c r="D31" s="180" t="s">
        <v>31</v>
      </c>
      <c r="E31" s="180"/>
      <c r="F31" s="181">
        <f>IFERROR(VLOOKUP(D31,'Data Feed'!$A$3:$F$30,3,FALSE),"")</f>
        <v>0.71150000000000002</v>
      </c>
      <c r="G31" s="288"/>
      <c r="H31" s="182">
        <f>IFERROR(VLOOKUP(D31,'Data Feed'!$A$3:$F$30,5,FALSE),"")</f>
        <v>0.20000000000020002</v>
      </c>
      <c r="I31" s="183">
        <f>IFERROR(VLOOKUP(D31,'Data Feed'!$A$3:$F$30,4,FALSE),"")</f>
        <v>0.71152000000000004</v>
      </c>
      <c r="J31" s="184"/>
      <c r="K31" s="185">
        <f>IFERROR(VLOOKUP(D31,'Data Feed'!$A$3:$I$30,8,FALSE),"")</f>
        <v>0.70684999999999998</v>
      </c>
      <c r="L31" s="186">
        <f t="shared" si="0"/>
        <v>46.600000000001089</v>
      </c>
      <c r="M31" s="187">
        <f t="shared" si="1"/>
        <v>0.22462562396005759</v>
      </c>
      <c r="N31" s="188" t="str">
        <f t="shared" si="6"/>
        <v/>
      </c>
      <c r="O31" s="189">
        <f t="shared" si="2"/>
        <v>60.100000000000705</v>
      </c>
      <c r="P31" s="190">
        <f t="shared" si="7"/>
        <v>0.7753743760399423</v>
      </c>
      <c r="Q31" s="191">
        <f t="shared" si="3"/>
        <v>0.7753743760399423</v>
      </c>
      <c r="R31" s="192">
        <f t="shared" si="4"/>
        <v>13.499999999999623</v>
      </c>
      <c r="S31" s="193">
        <f>IFERROR(VLOOKUP(D31,'Data Feed'!$A$3:$I$30,9,FALSE),"")</f>
        <v>0.71286000000000005</v>
      </c>
      <c r="T31" s="194"/>
      <c r="U31" s="195">
        <f>IFERROR(VLOOKUP(D31,'Data Feed'!A:I,2,FALSE),"")</f>
        <v>2020</v>
      </c>
      <c r="V31" s="196">
        <f t="shared" si="5"/>
        <v>0.71151000000000009</v>
      </c>
      <c r="W31" s="285"/>
      <c r="X31" s="159"/>
    </row>
    <row r="32" spans="1:24" ht="16.5" customHeight="1" x14ac:dyDescent="0.3">
      <c r="B32" s="201"/>
      <c r="C32" s="160"/>
      <c r="D32" s="202"/>
      <c r="E32" s="202"/>
      <c r="F32" s="203"/>
      <c r="G32" s="213"/>
      <c r="H32" s="214"/>
      <c r="I32" s="215"/>
      <c r="J32" s="161"/>
      <c r="K32" s="204"/>
      <c r="L32" s="205"/>
      <c r="M32" s="206"/>
      <c r="N32" s="206"/>
      <c r="O32" s="161"/>
      <c r="P32" s="207"/>
      <c r="Q32" s="207"/>
      <c r="R32" s="208"/>
      <c r="S32" s="209"/>
      <c r="T32" s="201"/>
      <c r="U32" s="210"/>
      <c r="V32" s="201"/>
      <c r="W32" s="201"/>
    </row>
    <row r="33" spans="4:21" ht="16.5" customHeight="1" x14ac:dyDescent="0.3">
      <c r="D33" s="144"/>
      <c r="E33" s="144"/>
      <c r="F33" s="211"/>
      <c r="G33" s="216"/>
      <c r="H33" s="217" t="s">
        <v>46</v>
      </c>
      <c r="I33" s="218" t="s">
        <v>47</v>
      </c>
      <c r="J33" s="212"/>
      <c r="K33" s="145"/>
      <c r="L33" s="146"/>
      <c r="M33" s="147"/>
      <c r="N33" s="147"/>
    </row>
    <row r="34" spans="4:21" ht="16.5" customHeight="1" x14ac:dyDescent="0.3">
      <c r="D34" s="144"/>
      <c r="E34" s="144"/>
      <c r="F34" s="211"/>
      <c r="G34" s="219" t="s">
        <v>35</v>
      </c>
      <c r="H34" s="153">
        <f>MIN(H4:H31)</f>
        <v>0</v>
      </c>
      <c r="I34" s="220">
        <v>1.9</v>
      </c>
      <c r="J34" s="212"/>
      <c r="L34" s="146"/>
      <c r="M34" s="147"/>
      <c r="N34" s="147"/>
      <c r="R34" s="298"/>
      <c r="S34" s="298"/>
    </row>
    <row r="35" spans="4:21" ht="16.5" customHeight="1" x14ac:dyDescent="0.3">
      <c r="D35" s="144"/>
      <c r="E35" s="144"/>
      <c r="F35" s="211"/>
      <c r="G35" s="221" t="s">
        <v>36</v>
      </c>
      <c r="H35" s="222">
        <f>MAX(H4:H31)</f>
        <v>1.8999999999991246</v>
      </c>
      <c r="I35" s="223">
        <v>3</v>
      </c>
      <c r="J35" s="212"/>
      <c r="K35" s="145"/>
      <c r="L35" s="146"/>
      <c r="M35" s="147"/>
      <c r="N35" s="147"/>
      <c r="Q35" s="124"/>
      <c r="R35" s="298"/>
      <c r="S35" s="298"/>
    </row>
    <row r="36" spans="4:21" ht="16.5" customHeight="1" x14ac:dyDescent="0.3">
      <c r="D36" s="150"/>
      <c r="E36" s="150"/>
      <c r="G36" s="201"/>
      <c r="H36" s="160"/>
      <c r="I36" s="209"/>
      <c r="P36" s="124"/>
      <c r="Q36" s="124"/>
    </row>
    <row r="37" spans="4:21" ht="16.5" customHeight="1" x14ac:dyDescent="0.3">
      <c r="D37" s="150"/>
      <c r="E37" s="150"/>
      <c r="P37" s="124"/>
      <c r="Q37" s="124"/>
    </row>
    <row r="38" spans="4:21" ht="16.5" customHeight="1" x14ac:dyDescent="0.3">
      <c r="D38" s="150"/>
      <c r="E38" s="150"/>
      <c r="H38" s="155"/>
      <c r="U38" s="156"/>
    </row>
    <row r="39" spans="4:21" ht="16.5" customHeight="1" x14ac:dyDescent="0.3">
      <c r="U39" s="151"/>
    </row>
    <row r="40" spans="4:21" ht="16.5" customHeight="1" x14ac:dyDescent="0.3">
      <c r="U40" s="157"/>
    </row>
    <row r="41" spans="4:21" ht="16.5" customHeight="1" x14ac:dyDescent="0.3">
      <c r="U41" s="157"/>
    </row>
    <row r="42" spans="4:21" ht="16.5" customHeight="1" x14ac:dyDescent="0.3">
      <c r="U42" s="157"/>
    </row>
    <row r="43" spans="4:21" ht="16.5" customHeight="1" x14ac:dyDescent="0.3">
      <c r="U43" s="157"/>
    </row>
    <row r="44" spans="4:21" ht="16.5" customHeight="1" x14ac:dyDescent="0.3">
      <c r="U44" s="157"/>
    </row>
    <row r="45" spans="4:21" ht="16.5" customHeight="1" x14ac:dyDescent="0.3">
      <c r="U45" s="157"/>
    </row>
    <row r="46" spans="4:21" ht="16.5" customHeight="1" x14ac:dyDescent="0.3">
      <c r="U46" s="157"/>
    </row>
    <row r="47" spans="4:21" ht="16.5" customHeight="1" x14ac:dyDescent="0.3">
      <c r="U47" s="157"/>
    </row>
    <row r="48" spans="4:21" ht="16.5" customHeight="1" x14ac:dyDescent="0.3">
      <c r="U48" s="157"/>
    </row>
    <row r="49" spans="8:21" ht="16.5" customHeight="1" x14ac:dyDescent="0.3">
      <c r="U49" s="157"/>
    </row>
    <row r="50" spans="8:21" ht="16.5" customHeight="1" x14ac:dyDescent="0.3">
      <c r="U50" s="157"/>
    </row>
    <row r="51" spans="8:21" ht="16.5" customHeight="1" x14ac:dyDescent="0.3">
      <c r="U51" s="157"/>
    </row>
    <row r="52" spans="8:21" ht="16.5" customHeight="1" x14ac:dyDescent="0.3">
      <c r="U52" s="157"/>
    </row>
    <row r="53" spans="8:21" ht="16.5" customHeight="1" x14ac:dyDescent="0.3">
      <c r="U53" s="157"/>
    </row>
    <row r="54" spans="8:21" ht="16.5" customHeight="1" x14ac:dyDescent="0.3">
      <c r="U54" s="157"/>
    </row>
    <row r="55" spans="8:21" ht="16.5" customHeight="1" x14ac:dyDescent="0.3">
      <c r="U55" s="157"/>
    </row>
    <row r="56" spans="8:21" ht="16.5" customHeight="1" x14ac:dyDescent="0.3">
      <c r="U56" s="157"/>
    </row>
    <row r="57" spans="8:21" ht="16.5" customHeight="1" x14ac:dyDescent="0.3">
      <c r="H57" s="143"/>
      <c r="U57" s="157"/>
    </row>
  </sheetData>
  <mergeCells count="21">
    <mergeCell ref="B1:W2"/>
    <mergeCell ref="W4:W10"/>
    <mergeCell ref="W11:W15"/>
    <mergeCell ref="W16:W19"/>
    <mergeCell ref="W20:W25"/>
    <mergeCell ref="B3:D3"/>
    <mergeCell ref="B4:B10"/>
    <mergeCell ref="W26:W31"/>
    <mergeCell ref="R34:S35"/>
    <mergeCell ref="L3:N3"/>
    <mergeCell ref="P3:R3"/>
    <mergeCell ref="G3:H3"/>
    <mergeCell ref="G4:G10"/>
    <mergeCell ref="B26:B31"/>
    <mergeCell ref="G26:G31"/>
    <mergeCell ref="B11:B15"/>
    <mergeCell ref="G11:G15"/>
    <mergeCell ref="B16:B19"/>
    <mergeCell ref="G16:G19"/>
    <mergeCell ref="B20:B25"/>
    <mergeCell ref="G20:G25"/>
  </mergeCells>
  <conditionalFormatting sqref="P4:P31">
    <cfRule type="dataBar" priority="21">
      <dataBar showValue="0">
        <cfvo type="num" val="0.5"/>
        <cfvo type="num" val="1"/>
        <color rgb="FF63C384"/>
      </dataBar>
      <extLst>
        <ext xmlns:x14="http://schemas.microsoft.com/office/spreadsheetml/2009/9/main" uri="{B025F937-C7B1-47D3-B67F-A62EFF666E3E}">
          <x14:id>{68888548-E113-4874-A63A-3DA57B53990D}</x14:id>
        </ext>
      </extLst>
    </cfRule>
  </conditionalFormatting>
  <conditionalFormatting sqref="N4:N31">
    <cfRule type="dataBar" priority="20">
      <dataBar showValue="0">
        <cfvo type="num" val="-1"/>
        <cfvo type="num" val="-0.5"/>
        <color rgb="FF63C384"/>
      </dataBar>
      <extLst>
        <ext xmlns:x14="http://schemas.microsoft.com/office/spreadsheetml/2009/9/main" uri="{B025F937-C7B1-47D3-B67F-A62EFF666E3E}">
          <x14:id>{79ED77C3-88DB-41AF-9899-A3F886FE0FDB}</x14:id>
        </ext>
      </extLst>
    </cfRule>
  </conditionalFormatting>
  <conditionalFormatting sqref="H4:H31">
    <cfRule type="top10" dxfId="13" priority="13" bottom="1" rank="2"/>
    <cfRule type="cellIs" dxfId="12" priority="120" operator="greaterThan">
      <formula>$I$35</formula>
    </cfRule>
    <cfRule type="cellIs" dxfId="11" priority="121" operator="lessThan">
      <formula>$I$34</formula>
    </cfRule>
  </conditionalFormatting>
  <conditionalFormatting sqref="G33">
    <cfRule type="containsText" dxfId="10" priority="16" operator="containsText" text="Pair Specs">
      <formula>NOT(ISERROR(SEARCH("Pair Specs",G33)))</formula>
    </cfRule>
    <cfRule type="containsText" dxfId="9" priority="17" operator="containsText" text="DDE">
      <formula>NOT(ISERROR(SEARCH("DDE",G33)))</formula>
    </cfRule>
  </conditionalFormatting>
  <conditionalFormatting sqref="G4:G31">
    <cfRule type="top10" dxfId="8" priority="14" rank="1"/>
    <cfRule type="top10" dxfId="7" priority="15" bottom="1" rank="1"/>
  </conditionalFormatting>
  <pageMargins left="0.7" right="0.7" top="0.75" bottom="0.75" header="0.3" footer="0.3"/>
  <pageSetup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8888548-E113-4874-A63A-3DA57B53990D}">
            <x14:dataBar minLength="0" maxLength="100" gradient="0">
              <x14:cfvo type="num">
                <xm:f>0.5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P4:P31</xm:sqref>
        </x14:conditionalFormatting>
        <x14:conditionalFormatting xmlns:xm="http://schemas.microsoft.com/office/excel/2006/main">
          <x14:cfRule type="dataBar" id="{79ED77C3-88DB-41AF-9899-A3F886FE0FDB}">
            <x14:dataBar minLength="0" maxLength="100" gradient="0">
              <x14:cfvo type="num">
                <xm:f>-1</xm:f>
              </x14:cfvo>
              <x14:cfvo type="num">
                <xm:f>-0.5</xm:f>
              </x14:cfvo>
              <x14:negativeFillColor rgb="FFFF0000"/>
              <x14:axisColor rgb="FF000000"/>
            </x14:dataBar>
          </x14:cfRule>
          <xm:sqref>N4:N31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H39"/>
  <sheetViews>
    <sheetView workbookViewId="0">
      <selection activeCell="B31" sqref="B31"/>
    </sheetView>
  </sheetViews>
  <sheetFormatPr defaultRowHeight="16.5" customHeight="1" x14ac:dyDescent="0.3"/>
  <cols>
    <col min="1" max="1" width="16.44140625" style="32" customWidth="1"/>
    <col min="2" max="2" width="18.6640625" style="34" customWidth="1"/>
    <col min="3" max="6" width="16.44140625" style="35" customWidth="1"/>
    <col min="7" max="7" width="48" style="118" customWidth="1"/>
    <col min="8" max="16384" width="8.88671875" style="32"/>
  </cols>
  <sheetData>
    <row r="1" spans="1:7" ht="16.5" customHeight="1" x14ac:dyDescent="0.3">
      <c r="A1" s="104" t="s">
        <v>37</v>
      </c>
      <c r="B1" s="102" t="s">
        <v>89</v>
      </c>
      <c r="C1" s="110" t="s">
        <v>38</v>
      </c>
      <c r="D1" s="110" t="s">
        <v>39</v>
      </c>
      <c r="E1" s="110" t="s">
        <v>5</v>
      </c>
      <c r="F1" s="110" t="s">
        <v>4</v>
      </c>
      <c r="G1" s="110" t="s">
        <v>96</v>
      </c>
    </row>
    <row r="2" spans="1:7" ht="16.5" customHeight="1" x14ac:dyDescent="0.3">
      <c r="A2" s="111" t="s">
        <v>16</v>
      </c>
      <c r="B2" s="112">
        <f>[2]!AUDCAD</f>
        <v>2020</v>
      </c>
      <c r="C2" s="113">
        <f>[3]!AUDCAD</f>
        <v>0.92645999999999995</v>
      </c>
      <c r="D2" s="113">
        <f>[4]!AUDCAD</f>
        <v>0.92649999999999999</v>
      </c>
      <c r="E2" s="113">
        <f>[5]!AUDCAD</f>
        <v>0.91927000000000003</v>
      </c>
      <c r="F2" s="113">
        <f>[6]!AUDCAD</f>
        <v>0.92742000000000002</v>
      </c>
      <c r="G2" s="120">
        <f>[7]!AUDCAD</f>
        <v>2020</v>
      </c>
    </row>
    <row r="3" spans="1:7" ht="16.5" customHeight="1" x14ac:dyDescent="0.3">
      <c r="A3" s="111" t="s">
        <v>32</v>
      </c>
      <c r="B3" s="112">
        <f>[2]!AUDCHF</f>
        <v>2020</v>
      </c>
      <c r="C3" s="113">
        <f>[3]!AUDCHF</f>
        <v>0.65917000000000003</v>
      </c>
      <c r="D3" s="113">
        <f>[4]!AUDCHF</f>
        <v>0.65920999999999996</v>
      </c>
      <c r="E3" s="113">
        <f>[5]!AUDCHF</f>
        <v>0.65137999999999996</v>
      </c>
      <c r="F3" s="113">
        <f>[6]!AUDCHF</f>
        <v>0.66098999999999997</v>
      </c>
      <c r="G3" s="120">
        <f>[7]!AUDCHF</f>
        <v>2020</v>
      </c>
    </row>
    <row r="4" spans="1:7" ht="16.5" customHeight="1" x14ac:dyDescent="0.3">
      <c r="A4" s="111" t="s">
        <v>23</v>
      </c>
      <c r="B4" s="112">
        <f>[2]!AUDJPY</f>
        <v>2020</v>
      </c>
      <c r="C4" s="113">
        <f>[3]!AUDJPY</f>
        <v>73.855999999999995</v>
      </c>
      <c r="D4" s="113">
        <f>[4]!AUDJPY</f>
        <v>73.858999999999995</v>
      </c>
      <c r="E4" s="113">
        <f>[5]!AUDJPY</f>
        <v>72.933000000000007</v>
      </c>
      <c r="F4" s="113">
        <f>[6]!AUDJPY</f>
        <v>74.010999999999996</v>
      </c>
      <c r="G4" s="120">
        <f>[7]!AUDJPY</f>
        <v>2020</v>
      </c>
    </row>
    <row r="5" spans="1:7" ht="16.5" customHeight="1" x14ac:dyDescent="0.3">
      <c r="A5" s="111" t="s">
        <v>9</v>
      </c>
      <c r="B5" s="112">
        <f>[2]!AUDNZD</f>
        <v>2020</v>
      </c>
      <c r="C5" s="113">
        <f>[3]!AUDNZD</f>
        <v>1.08544</v>
      </c>
      <c r="D5" s="113">
        <f>[4]!AUDNZD</f>
        <v>1.08551</v>
      </c>
      <c r="E5" s="113">
        <f>[5]!AUDNZD</f>
        <v>1.07894</v>
      </c>
      <c r="F5" s="113">
        <f>[6]!AUDNZD</f>
        <v>1.0880700000000001</v>
      </c>
      <c r="G5" s="120">
        <f>[7]!AUDNZD</f>
        <v>2020</v>
      </c>
    </row>
    <row r="6" spans="1:7" ht="16.5" customHeight="1" x14ac:dyDescent="0.3">
      <c r="A6" s="111" t="s">
        <v>26</v>
      </c>
      <c r="B6" s="112">
        <f>[2]!AUDUSD</f>
        <v>2020</v>
      </c>
      <c r="C6" s="113">
        <f>[3]!AUDUSD</f>
        <v>0.68540999999999996</v>
      </c>
      <c r="D6" s="113">
        <f>[4]!AUDUSD</f>
        <v>0.68542999999999998</v>
      </c>
      <c r="E6" s="113">
        <f>[5]!AUDUSD</f>
        <v>0.67749000000000004</v>
      </c>
      <c r="F6" s="113">
        <f>[6]!AUDUSD</f>
        <v>0.68693000000000004</v>
      </c>
      <c r="G6" s="120">
        <f>[7]!AUDUSD</f>
        <v>2020</v>
      </c>
    </row>
    <row r="7" spans="1:7" ht="16.5" customHeight="1" x14ac:dyDescent="0.3">
      <c r="A7" s="111" t="s">
        <v>31</v>
      </c>
      <c r="B7" s="112">
        <f>[2]!CADCHF</f>
        <v>2020</v>
      </c>
      <c r="C7" s="113">
        <f>[3]!CADCHF</f>
        <v>0.71150000000000002</v>
      </c>
      <c r="D7" s="113">
        <f>[4]!CADCHF</f>
        <v>0.71152000000000004</v>
      </c>
      <c r="E7" s="113">
        <f>[5]!CADCHF</f>
        <v>0.70684999999999998</v>
      </c>
      <c r="F7" s="113">
        <f>[6]!CADCHF</f>
        <v>0.71286000000000005</v>
      </c>
      <c r="G7" s="120">
        <f>[7]!CADCHF</f>
        <v>2020</v>
      </c>
    </row>
    <row r="8" spans="1:7" ht="16.5" customHeight="1" x14ac:dyDescent="0.3">
      <c r="A8" s="111" t="s">
        <v>22</v>
      </c>
      <c r="B8" s="112">
        <f>[2]!CADJPY</f>
        <v>2020</v>
      </c>
      <c r="C8" s="113">
        <f>[3]!CADJPY</f>
        <v>79.716999999999999</v>
      </c>
      <c r="D8" s="113">
        <f>[4]!CADJPY</f>
        <v>79.718999999999994</v>
      </c>
      <c r="E8" s="113">
        <f>[5]!CADJPY</f>
        <v>79.153999999999996</v>
      </c>
      <c r="F8" s="113">
        <f>[6]!CADJPY</f>
        <v>79.856999999999999</v>
      </c>
      <c r="G8" s="120">
        <f>[7]!CADJPY</f>
        <v>2020</v>
      </c>
    </row>
    <row r="9" spans="1:7" ht="16.5" customHeight="1" x14ac:dyDescent="0.3">
      <c r="A9" s="111" t="s">
        <v>21</v>
      </c>
      <c r="B9" s="112">
        <f>[2]!CHFJPY</f>
        <v>2020</v>
      </c>
      <c r="C9" s="113">
        <f>[3]!CHFJPY</f>
        <v>112.04</v>
      </c>
      <c r="D9" s="113">
        <f>[4]!CHFJPY</f>
        <v>112.04600000000001</v>
      </c>
      <c r="E9" s="113">
        <f>[5]!CHFJPY</f>
        <v>111.818</v>
      </c>
      <c r="F9" s="113">
        <f>[6]!CHFJPY</f>
        <v>112.544</v>
      </c>
      <c r="G9" s="120">
        <f>[7]!CHFJPY</f>
        <v>2020</v>
      </c>
    </row>
    <row r="10" spans="1:7" ht="16.5" customHeight="1" x14ac:dyDescent="0.3">
      <c r="A10" s="111" t="s">
        <v>11</v>
      </c>
      <c r="B10" s="112">
        <f>[2]!EURAUD</f>
        <v>2020</v>
      </c>
      <c r="C10" s="113">
        <f>[3]!EURAUD</f>
        <v>1.62944</v>
      </c>
      <c r="D10" s="113">
        <f>[4]!EURAUD</f>
        <v>1.6294900000000001</v>
      </c>
      <c r="E10" s="113">
        <f>[5]!EURAUD</f>
        <v>1.6281099999999999</v>
      </c>
      <c r="F10" s="113">
        <f>[6]!EURAUD</f>
        <v>1.6416500000000001</v>
      </c>
      <c r="G10" s="120">
        <f>[7]!EURAUD</f>
        <v>2020</v>
      </c>
    </row>
    <row r="11" spans="1:7" ht="16.5" customHeight="1" x14ac:dyDescent="0.3">
      <c r="A11" s="111" t="s">
        <v>15</v>
      </c>
      <c r="B11" s="112">
        <f>[2]!EURCAD</f>
        <v>2020</v>
      </c>
      <c r="C11" s="113">
        <f>[3]!EURCAD</f>
        <v>1.50963</v>
      </c>
      <c r="D11" s="113">
        <f>[4]!EURCAD</f>
        <v>1.5097100000000001</v>
      </c>
      <c r="E11" s="113">
        <f>[5]!EURCAD</f>
        <v>1.5054700000000001</v>
      </c>
      <c r="F11" s="113">
        <f>[6]!EURCAD</f>
        <v>1.5116000000000001</v>
      </c>
      <c r="G11" s="120">
        <f>[7]!EURCAD</f>
        <v>2020</v>
      </c>
    </row>
    <row r="12" spans="1:7" ht="16.5" customHeight="1" x14ac:dyDescent="0.3">
      <c r="A12" s="111" t="s">
        <v>30</v>
      </c>
      <c r="B12" s="112">
        <f>[2]!EURCHF</f>
        <v>2020</v>
      </c>
      <c r="C12" s="113">
        <f>[3]!EURCHF</f>
        <v>1.0741099999999999</v>
      </c>
      <c r="D12" s="113">
        <f>[4]!EURCHF</f>
        <v>1.0741400000000001</v>
      </c>
      <c r="E12" s="113">
        <f>[5]!EURCHF</f>
        <v>1.06856</v>
      </c>
      <c r="F12" s="113">
        <f>[6]!EURCHF</f>
        <v>1.0763</v>
      </c>
      <c r="G12" s="120">
        <f>[7]!EURCHF</f>
        <v>2020</v>
      </c>
    </row>
    <row r="13" spans="1:7" ht="16.5" customHeight="1" x14ac:dyDescent="0.3">
      <c r="A13" s="111" t="s">
        <v>33</v>
      </c>
      <c r="B13" s="112">
        <f>[2]!EURGBP</f>
        <v>2020</v>
      </c>
      <c r="C13" s="113">
        <f>[3]!EURGBP</f>
        <v>0.88883999999999996</v>
      </c>
      <c r="D13" s="113">
        <f>[4]!EURGBP</f>
        <v>0.88885999999999998</v>
      </c>
      <c r="E13" s="113">
        <f>[5]!EURGBP</f>
        <v>0.88666</v>
      </c>
      <c r="F13" s="113">
        <f>[6]!EURGBP</f>
        <v>0.89166000000000001</v>
      </c>
      <c r="G13" s="120">
        <f>[7]!EURGBP</f>
        <v>2020</v>
      </c>
    </row>
    <row r="14" spans="1:7" ht="16.5" customHeight="1" x14ac:dyDescent="0.3">
      <c r="A14" s="111" t="s">
        <v>20</v>
      </c>
      <c r="B14" s="112">
        <f>[2]!EURJPY</f>
        <v>2020</v>
      </c>
      <c r="C14" s="113">
        <f>[3]!EURJPY</f>
        <v>120.34699999999999</v>
      </c>
      <c r="D14" s="113">
        <f>[4]!EURJPY</f>
        <v>120.348</v>
      </c>
      <c r="E14" s="113">
        <f>[5]!EURJPY</f>
        <v>119.624</v>
      </c>
      <c r="F14" s="113">
        <f>[6]!EURJPY</f>
        <v>120.551</v>
      </c>
      <c r="G14" s="120">
        <f>[7]!EURJPY</f>
        <v>2020</v>
      </c>
    </row>
    <row r="15" spans="1:7" ht="16.5" customHeight="1" x14ac:dyDescent="0.3">
      <c r="A15" s="111" t="s">
        <v>8</v>
      </c>
      <c r="B15" s="112">
        <f>[2]!EURNZD</f>
        <v>2020</v>
      </c>
      <c r="C15" s="113">
        <f>[3]!EURNZD</f>
        <v>1.76874</v>
      </c>
      <c r="D15" s="113">
        <f>[4]!EURNZD</f>
        <v>1.7687999999999999</v>
      </c>
      <c r="E15" s="113">
        <f>[5]!EURNZD</f>
        <v>1.7657</v>
      </c>
      <c r="F15" s="113">
        <f>[6]!EURNZD</f>
        <v>1.7780400000000001</v>
      </c>
      <c r="G15" s="120">
        <f>[7]!EURNZD</f>
        <v>2020</v>
      </c>
    </row>
    <row r="16" spans="1:7" ht="16.5" customHeight="1" x14ac:dyDescent="0.3">
      <c r="A16" s="111" t="s">
        <v>6</v>
      </c>
      <c r="B16" s="112">
        <f>[2]!EURUSD</f>
        <v>2020</v>
      </c>
      <c r="C16" s="113">
        <f>[3]!EURUSD</f>
        <v>1.11686</v>
      </c>
      <c r="D16" s="113">
        <f>[4]!EURUSD</f>
        <v>1.11686</v>
      </c>
      <c r="E16" s="113">
        <f>[5]!EURUSD</f>
        <v>1.1115200000000001</v>
      </c>
      <c r="F16" s="113">
        <f>[6]!EURUSD</f>
        <v>1.1187800000000001</v>
      </c>
      <c r="G16" s="120">
        <f>[7]!EURUSD</f>
        <v>2020</v>
      </c>
    </row>
    <row r="17" spans="1:7" ht="16.5" customHeight="1" x14ac:dyDescent="0.3">
      <c r="A17" s="111" t="s">
        <v>10</v>
      </c>
      <c r="B17" s="112">
        <f>[2]!GBPAUD</f>
        <v>2020</v>
      </c>
      <c r="C17" s="113">
        <f>[3]!GBPAUD</f>
        <v>1.8332299999999999</v>
      </c>
      <c r="D17" s="113">
        <f>[4]!GBPAUD</f>
        <v>1.8333299999999999</v>
      </c>
      <c r="E17" s="113">
        <f>[5]!GBPAUD</f>
        <v>1.8292200000000001</v>
      </c>
      <c r="F17" s="113">
        <f>[6]!GBPAUD</f>
        <v>1.8456300000000001</v>
      </c>
      <c r="G17" s="120">
        <f>[7]!GBPAUD</f>
        <v>2020</v>
      </c>
    </row>
    <row r="18" spans="1:7" ht="16.5" customHeight="1" x14ac:dyDescent="0.3">
      <c r="A18" s="111" t="s">
        <v>14</v>
      </c>
      <c r="B18" s="112">
        <f>[2]!GBPCAD</f>
        <v>2020</v>
      </c>
      <c r="C18" s="113">
        <f>[3]!GBPCAD</f>
        <v>1.69845</v>
      </c>
      <c r="D18" s="113">
        <f>[4]!GBPCAD</f>
        <v>1.69852</v>
      </c>
      <c r="E18" s="113">
        <f>[5]!GBPCAD</f>
        <v>1.6906000000000001</v>
      </c>
      <c r="F18" s="113">
        <f>[6]!GBPCAD</f>
        <v>1.6988000000000001</v>
      </c>
      <c r="G18" s="120">
        <f>[7]!GBPCAD</f>
        <v>2020</v>
      </c>
    </row>
    <row r="19" spans="1:7" ht="16.5" customHeight="1" x14ac:dyDescent="0.3">
      <c r="A19" s="111" t="s">
        <v>29</v>
      </c>
      <c r="B19" s="112">
        <f>[2]!GBPCHF</f>
        <v>2020</v>
      </c>
      <c r="C19" s="113">
        <f>[3]!GBPCHF</f>
        <v>1.20844</v>
      </c>
      <c r="D19" s="113">
        <f>[4]!GBPCHF</f>
        <v>1.20852</v>
      </c>
      <c r="E19" s="113">
        <f>[5]!GBPCHF</f>
        <v>1.1994</v>
      </c>
      <c r="F19" s="113">
        <f>[6]!GBPCHF</f>
        <v>1.2097500000000001</v>
      </c>
      <c r="G19" s="120">
        <f>[7]!GBPCHF</f>
        <v>2020</v>
      </c>
    </row>
    <row r="20" spans="1:7" ht="16.5" customHeight="1" x14ac:dyDescent="0.3">
      <c r="A20" s="111" t="s">
        <v>19</v>
      </c>
      <c r="B20" s="112">
        <f>[2]!GBPJPY</f>
        <v>2020</v>
      </c>
      <c r="C20" s="113">
        <f>[3]!GBPJPY</f>
        <v>135.4</v>
      </c>
      <c r="D20" s="113">
        <f>[4]!GBPJPY</f>
        <v>135.40199999999999</v>
      </c>
      <c r="E20" s="113">
        <f>[5]!GBPJPY</f>
        <v>134.21899999999999</v>
      </c>
      <c r="F20" s="113">
        <f>[6]!GBPJPY</f>
        <v>135.5</v>
      </c>
      <c r="G20" s="120">
        <f>[7]!GBPJPY</f>
        <v>2020</v>
      </c>
    </row>
    <row r="21" spans="1:7" ht="16.5" customHeight="1" x14ac:dyDescent="0.3">
      <c r="A21" s="111" t="s">
        <v>7</v>
      </c>
      <c r="B21" s="112">
        <f>[2]!GBPNZD</f>
        <v>2020</v>
      </c>
      <c r="C21" s="113">
        <f>[3]!GBPNZD</f>
        <v>1.9899100000000001</v>
      </c>
      <c r="D21" s="113">
        <f>[4]!GBPNZD</f>
        <v>1.9901</v>
      </c>
      <c r="E21" s="113">
        <f>[5]!GBPNZD</f>
        <v>1.98224</v>
      </c>
      <c r="F21" s="113">
        <f>[6]!GBPNZD</f>
        <v>2.0001099999999998</v>
      </c>
      <c r="G21" s="120">
        <f>[7]!GBPNZD</f>
        <v>2020</v>
      </c>
    </row>
    <row r="22" spans="1:7" ht="16.5" customHeight="1" x14ac:dyDescent="0.3">
      <c r="A22" s="111" t="s">
        <v>25</v>
      </c>
      <c r="B22" s="112">
        <f>[2]!GBPUSD</f>
        <v>2020</v>
      </c>
      <c r="C22" s="113">
        <f>[3]!GBPUSD</f>
        <v>1.2565599999999999</v>
      </c>
      <c r="D22" s="113">
        <f>[4]!GBPUSD</f>
        <v>1.2565599999999999</v>
      </c>
      <c r="E22" s="113">
        <f>[5]!GBPUSD</f>
        <v>1.2478499999999999</v>
      </c>
      <c r="F22" s="113">
        <f>[6]!GBPUSD</f>
        <v>1.25762</v>
      </c>
      <c r="G22" s="120">
        <f>[7]!GBPUSD</f>
        <v>2020</v>
      </c>
    </row>
    <row r="23" spans="1:7" ht="16.5" customHeight="1" x14ac:dyDescent="0.3">
      <c r="A23" s="111" t="s">
        <v>13</v>
      </c>
      <c r="B23" s="112">
        <f>[2]!NZDCAD</f>
        <v>2020</v>
      </c>
      <c r="C23" s="113">
        <f>[3]!NZDCAD</f>
        <v>0.85346</v>
      </c>
      <c r="D23" s="113">
        <f>[4]!NZDCAD</f>
        <v>0.85353999999999997</v>
      </c>
      <c r="E23" s="113">
        <f>[5]!NZDCAD</f>
        <v>0.84818000000000005</v>
      </c>
      <c r="F23" s="113">
        <f>[6]!NZDCAD</f>
        <v>0.85543000000000002</v>
      </c>
      <c r="G23" s="120">
        <f>[7]!NZDCAD</f>
        <v>2020</v>
      </c>
    </row>
    <row r="24" spans="1:7" ht="16.5" customHeight="1" x14ac:dyDescent="0.3">
      <c r="A24" s="111" t="s">
        <v>28</v>
      </c>
      <c r="B24" s="112">
        <f>[2]!NZDCHF</f>
        <v>2020</v>
      </c>
      <c r="C24" s="113">
        <f>[3]!NZDCHF</f>
        <v>0.60726999999999998</v>
      </c>
      <c r="D24" s="113">
        <f>[4]!NZDCHF</f>
        <v>0.60729</v>
      </c>
      <c r="E24" s="113">
        <f>[5]!NZDCHF</f>
        <v>0.60136999999999996</v>
      </c>
      <c r="F24" s="113">
        <f>[6]!NZDCHF</f>
        <v>0.60785999999999996</v>
      </c>
      <c r="G24" s="120">
        <f>[7]!NZDCHF</f>
        <v>2020</v>
      </c>
    </row>
    <row r="25" spans="1:7" ht="16.5" customHeight="1" x14ac:dyDescent="0.3">
      <c r="A25" s="111" t="s">
        <v>18</v>
      </c>
      <c r="B25" s="112">
        <f>[2]!NZDJPY</f>
        <v>2020</v>
      </c>
      <c r="C25" s="113">
        <f>[3]!NZDJPY</f>
        <v>68.039000000000001</v>
      </c>
      <c r="D25" s="113">
        <f>[4]!NZDJPY</f>
        <v>68.043000000000006</v>
      </c>
      <c r="E25" s="113">
        <f>[5]!NZDJPY</f>
        <v>67.515000000000001</v>
      </c>
      <c r="F25" s="113">
        <f>[6]!NZDJPY</f>
        <v>68.072000000000003</v>
      </c>
      <c r="G25" s="120">
        <f>[7]!NZDJPY</f>
        <v>2020</v>
      </c>
    </row>
    <row r="26" spans="1:7" ht="16.5" customHeight="1" x14ac:dyDescent="0.3">
      <c r="A26" s="111" t="s">
        <v>24</v>
      </c>
      <c r="B26" s="112">
        <f>[2]!NZDUSD</f>
        <v>2020</v>
      </c>
      <c r="C26" s="113">
        <f>[3]!NZDUSD</f>
        <v>0.63141999999999998</v>
      </c>
      <c r="D26" s="113">
        <f>[4]!NZDUSD</f>
        <v>0.63143000000000005</v>
      </c>
      <c r="E26" s="113">
        <f>[5]!NZDUSD</f>
        <v>0.62629000000000001</v>
      </c>
      <c r="F26" s="113">
        <f>[6]!NZDUSD</f>
        <v>0.63180999999999998</v>
      </c>
      <c r="G26" s="120">
        <f>[7]!NZDUSD</f>
        <v>2020</v>
      </c>
    </row>
    <row r="27" spans="1:7" ht="16.5" customHeight="1" x14ac:dyDescent="0.3">
      <c r="A27" s="111" t="s">
        <v>12</v>
      </c>
      <c r="B27" s="112">
        <f>[2]!USDCAD</f>
        <v>2020</v>
      </c>
      <c r="C27" s="113">
        <f>[3]!USDCAD</f>
        <v>1.35168</v>
      </c>
      <c r="D27" s="113">
        <f>[4]!USDCAD</f>
        <v>1.35172</v>
      </c>
      <c r="E27" s="113">
        <f>[5]!USDCAD</f>
        <v>1.3493200000000001</v>
      </c>
      <c r="F27" s="113">
        <f>[6]!USDCAD</f>
        <v>1.3585199999999999</v>
      </c>
      <c r="G27" s="120">
        <f>[7]!USDCAD</f>
        <v>2020</v>
      </c>
    </row>
    <row r="28" spans="1:7" ht="16.5" customHeight="1" x14ac:dyDescent="0.3">
      <c r="A28" s="111" t="s">
        <v>27</v>
      </c>
      <c r="B28" s="112">
        <f>[2]!USDCHF</f>
        <v>2020</v>
      </c>
      <c r="C28" s="113">
        <f>[3]!USDCHF</f>
        <v>0.96170999999999995</v>
      </c>
      <c r="D28" s="113">
        <f>[4]!USDCHF</f>
        <v>0.96172999999999997</v>
      </c>
      <c r="E28" s="113">
        <f>[5]!USDCHF</f>
        <v>0.95730999999999999</v>
      </c>
      <c r="F28" s="113">
        <f>[6]!USDCHF</f>
        <v>0.96297999999999995</v>
      </c>
      <c r="G28" s="120">
        <f>[7]!USDCHF</f>
        <v>2020</v>
      </c>
    </row>
    <row r="29" spans="1:7" ht="16.5" customHeight="1" x14ac:dyDescent="0.3">
      <c r="A29" s="111" t="s">
        <v>17</v>
      </c>
      <c r="B29" s="112">
        <f>[2]!USDJPY</f>
        <v>2020</v>
      </c>
      <c r="C29" s="113">
        <f>[3]!USDJPY</f>
        <v>107.756</v>
      </c>
      <c r="D29" s="113">
        <f>[4]!USDJPY</f>
        <v>107.756</v>
      </c>
      <c r="E29" s="113">
        <f>[5]!USDJPY</f>
        <v>107.514</v>
      </c>
      <c r="F29" s="113">
        <f>[6]!USDJPY</f>
        <v>107.836</v>
      </c>
      <c r="G29" s="120">
        <f>[7]!USDJPY</f>
        <v>2020</v>
      </c>
    </row>
    <row r="30" spans="1:7" ht="16.5" customHeight="1" x14ac:dyDescent="0.3">
      <c r="A30" s="111" t="s">
        <v>83</v>
      </c>
      <c r="B30" s="112">
        <f>[2]!XAUUSD</f>
        <v>2020</v>
      </c>
      <c r="C30" s="113">
        <f>[3]!XAUUSD</f>
        <v>1738.87</v>
      </c>
      <c r="D30" s="113">
        <f>[4]!XAUUSD</f>
        <v>1739.14</v>
      </c>
      <c r="E30" s="113">
        <f>[5]!XAUUSD</f>
        <v>1734.89</v>
      </c>
      <c r="F30" s="113">
        <f>[6]!XAUUSD</f>
        <v>1743.23</v>
      </c>
      <c r="G30" s="120">
        <f>[7]!XAUUSD</f>
        <v>2020</v>
      </c>
    </row>
    <row r="31" spans="1:7" ht="16.5" customHeight="1" x14ac:dyDescent="0.3">
      <c r="A31" s="111" t="s">
        <v>91</v>
      </c>
      <c r="B31" s="112">
        <f>[2]!USDSGD</f>
        <v>2020</v>
      </c>
      <c r="C31" s="113">
        <f>[3]!USDSGD</f>
        <v>1.4016900000000001</v>
      </c>
      <c r="D31" s="113">
        <f>[4]!USDSGD</f>
        <v>1.40174</v>
      </c>
      <c r="E31" s="113">
        <f>[5]!USDSGD</f>
        <v>1.40065</v>
      </c>
      <c r="F31" s="113">
        <f>[6]!USDSGD</f>
        <v>1.4085399999999999</v>
      </c>
      <c r="G31" s="120">
        <f>[7]!USDSGD</f>
        <v>2020</v>
      </c>
    </row>
    <row r="33" spans="1:8" ht="16.5" customHeight="1" x14ac:dyDescent="0.25">
      <c r="A33" s="33"/>
      <c r="B33" s="33"/>
      <c r="C33" s="33"/>
      <c r="D33" s="33"/>
      <c r="E33" s="33"/>
      <c r="F33" s="33"/>
      <c r="G33" s="119"/>
      <c r="H33" s="33"/>
    </row>
    <row r="34" spans="1:8" ht="16.5" customHeight="1" x14ac:dyDescent="0.25">
      <c r="A34" s="33"/>
      <c r="B34" s="33"/>
      <c r="C34" s="33"/>
      <c r="D34" s="33"/>
      <c r="E34" s="33"/>
      <c r="F34" s="33"/>
      <c r="G34" s="119"/>
      <c r="H34" s="33"/>
    </row>
    <row r="35" spans="1:8" ht="16.5" customHeight="1" x14ac:dyDescent="0.25">
      <c r="A35" s="33"/>
      <c r="B35" s="33"/>
      <c r="C35" s="33"/>
      <c r="D35" s="33"/>
      <c r="E35" s="33"/>
      <c r="F35" s="33"/>
      <c r="G35" s="119"/>
      <c r="H35" s="33"/>
    </row>
    <row r="36" spans="1:8" ht="16.5" customHeight="1" x14ac:dyDescent="0.25">
      <c r="A36" s="33"/>
      <c r="B36" s="33"/>
      <c r="C36" s="33"/>
      <c r="D36" s="33"/>
      <c r="E36" s="33"/>
      <c r="F36" s="33"/>
      <c r="G36" s="119"/>
      <c r="H36" s="33"/>
    </row>
    <row r="37" spans="1:8" ht="16.5" customHeight="1" x14ac:dyDescent="0.25">
      <c r="A37" s="33"/>
      <c r="B37" s="33"/>
      <c r="C37" s="33"/>
      <c r="D37" s="33"/>
      <c r="E37" s="33"/>
      <c r="F37" s="33"/>
      <c r="G37" s="119"/>
      <c r="H37" s="33"/>
    </row>
    <row r="38" spans="1:8" ht="16.5" customHeight="1" x14ac:dyDescent="0.25">
      <c r="A38" s="33"/>
      <c r="B38" s="33"/>
      <c r="C38" s="33"/>
      <c r="D38" s="33"/>
      <c r="E38" s="33"/>
      <c r="F38" s="33"/>
      <c r="G38" s="119"/>
      <c r="H38" s="33"/>
    </row>
    <row r="39" spans="1:8" ht="16.5" customHeight="1" x14ac:dyDescent="0.25">
      <c r="A39" s="33"/>
      <c r="B39" s="33"/>
      <c r="C39" s="33"/>
      <c r="D39" s="33"/>
      <c r="E39" s="33"/>
      <c r="F39" s="33"/>
      <c r="G39" s="119"/>
      <c r="H39" s="33"/>
    </row>
  </sheetData>
  <pageMargins left="0.7" right="0.7" top="0.75" bottom="0.75" header="0.3" footer="0.3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N30"/>
  <sheetViews>
    <sheetView workbookViewId="0">
      <selection activeCell="L24" sqref="L24"/>
    </sheetView>
  </sheetViews>
  <sheetFormatPr defaultRowHeight="16.5" customHeight="1" x14ac:dyDescent="0.3"/>
  <cols>
    <col min="1" max="1" width="13.5546875" style="28" customWidth="1"/>
    <col min="2" max="2" width="18.21875" style="41" customWidth="1"/>
    <col min="3" max="6" width="15.77734375" style="41" customWidth="1"/>
    <col min="7" max="7" width="15.77734375" style="28" customWidth="1"/>
    <col min="8" max="9" width="14.77734375" style="28" customWidth="1"/>
    <col min="10" max="10" width="16.44140625" style="250" customWidth="1"/>
    <col min="11" max="11" width="8.88671875" style="28"/>
    <col min="12" max="12" width="14.33203125" style="250" customWidth="1"/>
    <col min="13" max="13" width="8.88671875" style="28"/>
    <col min="14" max="14" width="8.88671875" style="251"/>
    <col min="15" max="16384" width="8.88671875" style="28"/>
  </cols>
  <sheetData>
    <row r="1" spans="1:10" ht="16.5" customHeight="1" x14ac:dyDescent="0.3">
      <c r="A1" s="117"/>
      <c r="B1" s="315" t="s">
        <v>45</v>
      </c>
      <c r="C1" s="315"/>
      <c r="D1" s="315"/>
      <c r="E1" s="316" t="s">
        <v>95</v>
      </c>
      <c r="F1" s="316"/>
      <c r="G1" s="317"/>
      <c r="H1" s="313" t="s">
        <v>45</v>
      </c>
      <c r="I1" s="314"/>
    </row>
    <row r="2" spans="1:10" ht="16.5" customHeight="1" x14ac:dyDescent="0.3">
      <c r="A2" s="101" t="s">
        <v>37</v>
      </c>
      <c r="B2" s="102" t="s">
        <v>89</v>
      </c>
      <c r="C2" s="103" t="s">
        <v>38</v>
      </c>
      <c r="D2" s="103" t="s">
        <v>39</v>
      </c>
      <c r="E2" s="103" t="s">
        <v>42</v>
      </c>
      <c r="F2" s="103" t="s">
        <v>43</v>
      </c>
      <c r="G2" s="103" t="s">
        <v>44</v>
      </c>
      <c r="H2" s="103" t="s">
        <v>5</v>
      </c>
      <c r="I2" s="103" t="s">
        <v>4</v>
      </c>
      <c r="J2" s="102" t="s">
        <v>107</v>
      </c>
    </row>
    <row r="3" spans="1:10" ht="16.5" customHeight="1" x14ac:dyDescent="0.3">
      <c r="A3" s="105" t="s">
        <v>16</v>
      </c>
      <c r="B3" s="106">
        <f>IF($H$1="DDE",VLOOKUP(A3,'DDE Live Data'!$A$2:$D$29,2,FALSE),VLOOKUP(A3,#REF!,2,FALSE))</f>
        <v>2020</v>
      </c>
      <c r="C3" s="108">
        <f>IF($H$1="DDE",VLOOKUP(A3,'DDE Live Data'!$A$2:$D$29,3,FALSE),"")</f>
        <v>0.92645999999999995</v>
      </c>
      <c r="D3" s="108">
        <f>IF($H$1="DDE",VLOOKUP(A3,'DDE Live Data'!$A$2:$D$29,4,FALSE),"")</f>
        <v>0.92649999999999999</v>
      </c>
      <c r="E3" s="107">
        <f>IF(ISNUMBER(SEARCH("JPY",A3)),((D3-C3)*100),((D3-C3)*10000))</f>
        <v>0.40000000000040004</v>
      </c>
      <c r="F3" s="108">
        <f>IF(ISNUMBER(SEARCH("JPY",A3)),((D3-C3)),((D3-C3)))</f>
        <v>4.0000000000040004E-5</v>
      </c>
      <c r="G3" s="109">
        <f>AVERAGE(C3:D3)</f>
        <v>0.92647999999999997</v>
      </c>
      <c r="H3" s="121">
        <f>IF($H$1="DDE",VLOOKUP(A3,'DDE Live Data'!$A$2:$F$29,5,FALSE),"")</f>
        <v>0.91927000000000003</v>
      </c>
      <c r="I3" s="121">
        <f>IF($H$1="DDE",VLOOKUP(A3,'DDE Live Data'!$A$2:$F$29,6,FALSE),"")</f>
        <v>0.92742000000000002</v>
      </c>
      <c r="J3" s="252">
        <f ca="1">NOW()</f>
        <v>43984.781427430557</v>
      </c>
    </row>
    <row r="4" spans="1:10" ht="16.5" customHeight="1" x14ac:dyDescent="0.3">
      <c r="A4" s="105" t="s">
        <v>32</v>
      </c>
      <c r="B4" s="106">
        <f>IF($H$1="DDE",VLOOKUP(A4,'DDE Live Data'!$A$2:$D$29,2,FALSE),VLOOKUP(A4,#REF!,2,FALSE))</f>
        <v>2020</v>
      </c>
      <c r="C4" s="108">
        <f>IF($H$1="DDE",VLOOKUP(A4,'DDE Live Data'!$A$2:$D$29,3,FALSE),"")</f>
        <v>0.65917000000000003</v>
      </c>
      <c r="D4" s="108">
        <f>IF($H$1="DDE",VLOOKUP(A4,'DDE Live Data'!$A$2:$D$29,4,FALSE),"")</f>
        <v>0.65920999999999996</v>
      </c>
      <c r="E4" s="107">
        <f t="shared" ref="E4:E18" si="0">IF(ISNUMBER(SEARCH("JPY",A4)),((D4-C4)*100),((D4-C4)*10000))</f>
        <v>0.39999999999928981</v>
      </c>
      <c r="F4" s="108">
        <f t="shared" ref="F4:F18" si="1">IF(ISNUMBER(SEARCH("JPY",A4)),((D4-C4)),((D4-C4)))</f>
        <v>3.9999999999928981E-5</v>
      </c>
      <c r="G4" s="109">
        <f t="shared" ref="G4:G18" si="2">AVERAGE(C4:D4)</f>
        <v>0.65918999999999994</v>
      </c>
      <c r="H4" s="121">
        <f>IF($H$1="DDE",VLOOKUP(A4,'DDE Live Data'!$A$2:$F$29,5,FALSE),"")</f>
        <v>0.65137999999999996</v>
      </c>
      <c r="I4" s="121">
        <f>IF($H$1="DDE",VLOOKUP(A4,'DDE Live Data'!$A$2:$F$29,6,FALSE),"")</f>
        <v>0.66098999999999997</v>
      </c>
      <c r="J4" s="252">
        <f t="shared" ref="J4:J30" ca="1" si="3">NOW()</f>
        <v>43984.781427430557</v>
      </c>
    </row>
    <row r="5" spans="1:10" ht="16.5" customHeight="1" x14ac:dyDescent="0.3">
      <c r="A5" s="105" t="s">
        <v>23</v>
      </c>
      <c r="B5" s="106">
        <f>IF($H$1="DDE",VLOOKUP(A5,'DDE Live Data'!$A$2:$D$29,2,FALSE),VLOOKUP(A5,#REF!,2,FALSE))</f>
        <v>2020</v>
      </c>
      <c r="C5" s="108">
        <f>IF($H$1="DDE",VLOOKUP(A5,'DDE Live Data'!$A$2:$D$29,3,FALSE),"")</f>
        <v>73.855999999999995</v>
      </c>
      <c r="D5" s="108">
        <f>IF($H$1="DDE",VLOOKUP(A5,'DDE Live Data'!$A$2:$D$29,4,FALSE),"")</f>
        <v>73.858999999999995</v>
      </c>
      <c r="E5" s="107">
        <f t="shared" si="0"/>
        <v>0.30000000000001137</v>
      </c>
      <c r="F5" s="108">
        <f t="shared" si="1"/>
        <v>3.0000000000001137E-3</v>
      </c>
      <c r="G5" s="109">
        <f t="shared" si="2"/>
        <v>73.857499999999987</v>
      </c>
      <c r="H5" s="121">
        <f>IF($H$1="DDE",VLOOKUP(A5,'DDE Live Data'!$A$2:$F$29,5,FALSE),"")</f>
        <v>72.933000000000007</v>
      </c>
      <c r="I5" s="121">
        <f>IF($H$1="DDE",VLOOKUP(A5,'DDE Live Data'!$A$2:$F$29,6,FALSE),"")</f>
        <v>74.010999999999996</v>
      </c>
      <c r="J5" s="252">
        <f t="shared" ca="1" si="3"/>
        <v>43984.781427430557</v>
      </c>
    </row>
    <row r="6" spans="1:10" ht="16.5" customHeight="1" x14ac:dyDescent="0.3">
      <c r="A6" s="105" t="s">
        <v>9</v>
      </c>
      <c r="B6" s="106">
        <f>IF($H$1="DDE",VLOOKUP(A6,'DDE Live Data'!$A$2:$D$29,2,FALSE),VLOOKUP(A6,#REF!,2,FALSE))</f>
        <v>2020</v>
      </c>
      <c r="C6" s="108">
        <f>IF($H$1="DDE",VLOOKUP(A6,'DDE Live Data'!$A$2:$D$29,3,FALSE),"")</f>
        <v>1.08544</v>
      </c>
      <c r="D6" s="108">
        <f>IF($H$1="DDE",VLOOKUP(A6,'DDE Live Data'!$A$2:$D$29,4,FALSE),"")</f>
        <v>1.08551</v>
      </c>
      <c r="E6" s="107">
        <f t="shared" si="0"/>
        <v>0.70000000000014495</v>
      </c>
      <c r="F6" s="108">
        <f t="shared" si="1"/>
        <v>7.0000000000014495E-5</v>
      </c>
      <c r="G6" s="109">
        <f t="shared" si="2"/>
        <v>1.085475</v>
      </c>
      <c r="H6" s="121">
        <f>IF($H$1="DDE",VLOOKUP(A6,'DDE Live Data'!$A$2:$F$29,5,FALSE),"")</f>
        <v>1.07894</v>
      </c>
      <c r="I6" s="121">
        <f>IF($H$1="DDE",VLOOKUP(A6,'DDE Live Data'!$A$2:$F$29,6,FALSE),"")</f>
        <v>1.0880700000000001</v>
      </c>
      <c r="J6" s="252">
        <f t="shared" ca="1" si="3"/>
        <v>43984.781427430557</v>
      </c>
    </row>
    <row r="7" spans="1:10" ht="16.5" customHeight="1" x14ac:dyDescent="0.3">
      <c r="A7" s="105" t="s">
        <v>26</v>
      </c>
      <c r="B7" s="106">
        <f>IF($H$1="DDE",VLOOKUP(A7,'DDE Live Data'!$A$2:$D$29,2,FALSE),VLOOKUP(A7,#REF!,2,FALSE))</f>
        <v>2020</v>
      </c>
      <c r="C7" s="108">
        <f>IF($H$1="DDE",VLOOKUP(A7,'DDE Live Data'!$A$2:$D$29,3,FALSE),"")</f>
        <v>0.68540999999999996</v>
      </c>
      <c r="D7" s="108">
        <f>IF($H$1="DDE",VLOOKUP(A7,'DDE Live Data'!$A$2:$D$29,4,FALSE),"")</f>
        <v>0.68542999999999998</v>
      </c>
      <c r="E7" s="107">
        <f t="shared" si="0"/>
        <v>0.20000000000020002</v>
      </c>
      <c r="F7" s="108">
        <f t="shared" si="1"/>
        <v>2.0000000000020002E-5</v>
      </c>
      <c r="G7" s="109">
        <f t="shared" si="2"/>
        <v>0.68541999999999992</v>
      </c>
      <c r="H7" s="121">
        <f>IF($H$1="DDE",VLOOKUP(A7,'DDE Live Data'!$A$2:$F$29,5,FALSE),"")</f>
        <v>0.67749000000000004</v>
      </c>
      <c r="I7" s="121">
        <f>IF($H$1="DDE",VLOOKUP(A7,'DDE Live Data'!$A$2:$F$29,6,FALSE),"")</f>
        <v>0.68693000000000004</v>
      </c>
      <c r="J7" s="252">
        <f t="shared" ca="1" si="3"/>
        <v>43984.781427430557</v>
      </c>
    </row>
    <row r="8" spans="1:10" ht="16.5" customHeight="1" x14ac:dyDescent="0.3">
      <c r="A8" s="105" t="s">
        <v>31</v>
      </c>
      <c r="B8" s="106">
        <f>IF($H$1="DDE",VLOOKUP(A8,'DDE Live Data'!$A$2:$D$29,2,FALSE),VLOOKUP(A8,#REF!,2,FALSE))</f>
        <v>2020</v>
      </c>
      <c r="C8" s="108">
        <f>IF($H$1="DDE",VLOOKUP(A8,'DDE Live Data'!$A$2:$D$29,3,FALSE),"")</f>
        <v>0.71150000000000002</v>
      </c>
      <c r="D8" s="108">
        <f>IF($H$1="DDE",VLOOKUP(A8,'DDE Live Data'!$A$2:$D$29,4,FALSE),"")</f>
        <v>0.71152000000000004</v>
      </c>
      <c r="E8" s="107">
        <f t="shared" si="0"/>
        <v>0.20000000000020002</v>
      </c>
      <c r="F8" s="108">
        <f t="shared" si="1"/>
        <v>2.0000000000020002E-5</v>
      </c>
      <c r="G8" s="109">
        <f t="shared" si="2"/>
        <v>0.71151000000000009</v>
      </c>
      <c r="H8" s="121">
        <f>IF($H$1="DDE",VLOOKUP(A8,'DDE Live Data'!$A$2:$F$29,5,FALSE),"")</f>
        <v>0.70684999999999998</v>
      </c>
      <c r="I8" s="121">
        <f>IF($H$1="DDE",VLOOKUP(A8,'DDE Live Data'!$A$2:$F$29,6,FALSE),"")</f>
        <v>0.71286000000000005</v>
      </c>
      <c r="J8" s="252">
        <f t="shared" ca="1" si="3"/>
        <v>43984.781427430557</v>
      </c>
    </row>
    <row r="9" spans="1:10" ht="16.5" customHeight="1" x14ac:dyDescent="0.3">
      <c r="A9" s="105" t="s">
        <v>22</v>
      </c>
      <c r="B9" s="106">
        <f>IF($H$1="DDE",VLOOKUP(A9,'DDE Live Data'!$A$2:$D$29,2,FALSE),VLOOKUP(A9,#REF!,2,FALSE))</f>
        <v>2020</v>
      </c>
      <c r="C9" s="108">
        <f>IF($H$1="DDE",VLOOKUP(A9,'DDE Live Data'!$A$2:$D$29,3,FALSE),"")</f>
        <v>79.716999999999999</v>
      </c>
      <c r="D9" s="108">
        <f>IF($H$1="DDE",VLOOKUP(A9,'DDE Live Data'!$A$2:$D$29,4,FALSE),"")</f>
        <v>79.718999999999994</v>
      </c>
      <c r="E9" s="107">
        <f t="shared" si="0"/>
        <v>0.19999999999953388</v>
      </c>
      <c r="F9" s="108">
        <f t="shared" si="1"/>
        <v>1.9999999999953388E-3</v>
      </c>
      <c r="G9" s="109">
        <f t="shared" si="2"/>
        <v>79.717999999999989</v>
      </c>
      <c r="H9" s="121">
        <f>IF($H$1="DDE",VLOOKUP(A9,'DDE Live Data'!$A$2:$F$29,5,FALSE),"")</f>
        <v>79.153999999999996</v>
      </c>
      <c r="I9" s="121">
        <f>IF($H$1="DDE",VLOOKUP(A9,'DDE Live Data'!$A$2:$F$29,6,FALSE),"")</f>
        <v>79.856999999999999</v>
      </c>
      <c r="J9" s="252">
        <f t="shared" ca="1" si="3"/>
        <v>43984.781427430557</v>
      </c>
    </row>
    <row r="10" spans="1:10" ht="16.5" customHeight="1" x14ac:dyDescent="0.3">
      <c r="A10" s="105" t="s">
        <v>21</v>
      </c>
      <c r="B10" s="106">
        <f>IF($H$1="DDE",VLOOKUP(A10,'DDE Live Data'!$A$2:$D$29,2,FALSE),VLOOKUP(A10,#REF!,2,FALSE))</f>
        <v>2020</v>
      </c>
      <c r="C10" s="108">
        <f>IF($H$1="DDE",VLOOKUP(A10,'DDE Live Data'!$A$2:$D$29,3,FALSE),"")</f>
        <v>112.04</v>
      </c>
      <c r="D10" s="108">
        <f>IF($H$1="DDE",VLOOKUP(A10,'DDE Live Data'!$A$2:$D$29,4,FALSE),"")</f>
        <v>112.04600000000001</v>
      </c>
      <c r="E10" s="107">
        <f t="shared" si="0"/>
        <v>0.60000000000002274</v>
      </c>
      <c r="F10" s="108">
        <f t="shared" si="1"/>
        <v>6.0000000000002274E-3</v>
      </c>
      <c r="G10" s="109">
        <f t="shared" si="2"/>
        <v>112.04300000000001</v>
      </c>
      <c r="H10" s="121">
        <f>IF($H$1="DDE",VLOOKUP(A10,'DDE Live Data'!$A$2:$F$29,5,FALSE),"")</f>
        <v>111.818</v>
      </c>
      <c r="I10" s="121">
        <f>IF($H$1="DDE",VLOOKUP(A10,'DDE Live Data'!$A$2:$F$29,6,FALSE),"")</f>
        <v>112.544</v>
      </c>
      <c r="J10" s="252">
        <f t="shared" ca="1" si="3"/>
        <v>43984.781427430557</v>
      </c>
    </row>
    <row r="11" spans="1:10" ht="16.5" customHeight="1" x14ac:dyDescent="0.3">
      <c r="A11" s="105" t="s">
        <v>11</v>
      </c>
      <c r="B11" s="106">
        <f>IF($H$1="DDE",VLOOKUP(A11,'DDE Live Data'!$A$2:$D$29,2,FALSE),VLOOKUP(A11,#REF!,2,FALSE))</f>
        <v>2020</v>
      </c>
      <c r="C11" s="108">
        <f>IF($H$1="DDE",VLOOKUP(A11,'DDE Live Data'!$A$2:$D$29,3,FALSE),"")</f>
        <v>1.62944</v>
      </c>
      <c r="D11" s="108">
        <f>IF($H$1="DDE",VLOOKUP(A11,'DDE Live Data'!$A$2:$D$29,4,FALSE),"")</f>
        <v>1.6294900000000001</v>
      </c>
      <c r="E11" s="107">
        <f t="shared" si="0"/>
        <v>0.50000000000105516</v>
      </c>
      <c r="F11" s="108">
        <f t="shared" si="1"/>
        <v>5.0000000000105516E-5</v>
      </c>
      <c r="G11" s="109">
        <f t="shared" si="2"/>
        <v>1.6294650000000002</v>
      </c>
      <c r="H11" s="121">
        <f>IF($H$1="DDE",VLOOKUP(A11,'DDE Live Data'!$A$2:$F$29,5,FALSE),"")</f>
        <v>1.6281099999999999</v>
      </c>
      <c r="I11" s="121">
        <f>IF($H$1="DDE",VLOOKUP(A11,'DDE Live Data'!$A$2:$F$29,6,FALSE),"")</f>
        <v>1.6416500000000001</v>
      </c>
      <c r="J11" s="252">
        <f t="shared" ca="1" si="3"/>
        <v>43984.781427430557</v>
      </c>
    </row>
    <row r="12" spans="1:10" ht="16.5" customHeight="1" x14ac:dyDescent="0.3">
      <c r="A12" s="105" t="s">
        <v>15</v>
      </c>
      <c r="B12" s="106">
        <f>IF($H$1="DDE",VLOOKUP(A12,'DDE Live Data'!$A$2:$D$29,2,FALSE),VLOOKUP(A12,#REF!,2,FALSE))</f>
        <v>2020</v>
      </c>
      <c r="C12" s="108">
        <f>IF($H$1="DDE",VLOOKUP(A12,'DDE Live Data'!$A$2:$D$29,3,FALSE),"")</f>
        <v>1.50963</v>
      </c>
      <c r="D12" s="108">
        <f>IF($H$1="DDE",VLOOKUP(A12,'DDE Live Data'!$A$2:$D$29,4,FALSE),"")</f>
        <v>1.5097100000000001</v>
      </c>
      <c r="E12" s="107">
        <f t="shared" si="0"/>
        <v>0.80000000000080007</v>
      </c>
      <c r="F12" s="108">
        <f t="shared" si="1"/>
        <v>8.0000000000080007E-5</v>
      </c>
      <c r="G12" s="109">
        <f t="shared" si="2"/>
        <v>1.5096700000000001</v>
      </c>
      <c r="H12" s="121">
        <f>IF($H$1="DDE",VLOOKUP(A12,'DDE Live Data'!$A$2:$F$29,5,FALSE),"")</f>
        <v>1.5054700000000001</v>
      </c>
      <c r="I12" s="121">
        <f>IF($H$1="DDE",VLOOKUP(A12,'DDE Live Data'!$A$2:$F$29,6,FALSE),"")</f>
        <v>1.5116000000000001</v>
      </c>
      <c r="J12" s="252">
        <f t="shared" ca="1" si="3"/>
        <v>43984.781427430557</v>
      </c>
    </row>
    <row r="13" spans="1:10" ht="16.5" customHeight="1" x14ac:dyDescent="0.3">
      <c r="A13" s="105" t="s">
        <v>30</v>
      </c>
      <c r="B13" s="106">
        <f>IF($H$1="DDE",VLOOKUP(A13,'DDE Live Data'!$A$2:$D$29,2,FALSE),VLOOKUP(A13,#REF!,2,FALSE))</f>
        <v>2020</v>
      </c>
      <c r="C13" s="108">
        <f>IF($H$1="DDE",VLOOKUP(A13,'DDE Live Data'!$A$2:$D$29,3,FALSE),"")</f>
        <v>1.0741099999999999</v>
      </c>
      <c r="D13" s="108">
        <f>IF($H$1="DDE",VLOOKUP(A13,'DDE Live Data'!$A$2:$D$29,4,FALSE),"")</f>
        <v>1.0741400000000001</v>
      </c>
      <c r="E13" s="107">
        <f t="shared" si="0"/>
        <v>0.30000000000196536</v>
      </c>
      <c r="F13" s="108">
        <f t="shared" si="1"/>
        <v>3.0000000000196536E-5</v>
      </c>
      <c r="G13" s="109">
        <f t="shared" si="2"/>
        <v>1.074125</v>
      </c>
      <c r="H13" s="121">
        <f>IF($H$1="DDE",VLOOKUP(A13,'DDE Live Data'!$A$2:$F$29,5,FALSE),"")</f>
        <v>1.06856</v>
      </c>
      <c r="I13" s="121">
        <f>IF($H$1="DDE",VLOOKUP(A13,'DDE Live Data'!$A$2:$F$29,6,FALSE),"")</f>
        <v>1.0763</v>
      </c>
      <c r="J13" s="252">
        <f t="shared" ca="1" si="3"/>
        <v>43984.781427430557</v>
      </c>
    </row>
    <row r="14" spans="1:10" ht="16.5" customHeight="1" x14ac:dyDescent="0.3">
      <c r="A14" s="105" t="s">
        <v>33</v>
      </c>
      <c r="B14" s="106">
        <f>IF($H$1="DDE",VLOOKUP(A14,'DDE Live Data'!$A$2:$D$29,2,FALSE),VLOOKUP(A14,#REF!,2,FALSE))</f>
        <v>2020</v>
      </c>
      <c r="C14" s="108">
        <f>IF($H$1="DDE",VLOOKUP(A14,'DDE Live Data'!$A$2:$D$29,3,FALSE),"")</f>
        <v>0.88883999999999996</v>
      </c>
      <c r="D14" s="108">
        <f>IF($H$1="DDE",VLOOKUP(A14,'DDE Live Data'!$A$2:$D$29,4,FALSE),"")</f>
        <v>0.88885999999999998</v>
      </c>
      <c r="E14" s="107">
        <f t="shared" si="0"/>
        <v>0.20000000000020002</v>
      </c>
      <c r="F14" s="108">
        <f t="shared" si="1"/>
        <v>2.0000000000020002E-5</v>
      </c>
      <c r="G14" s="109">
        <f t="shared" si="2"/>
        <v>0.88884999999999992</v>
      </c>
      <c r="H14" s="121">
        <f>IF($H$1="DDE",VLOOKUP(A14,'DDE Live Data'!$A$2:$F$29,5,FALSE),"")</f>
        <v>0.88666</v>
      </c>
      <c r="I14" s="121">
        <f>IF($H$1="DDE",VLOOKUP(A14,'DDE Live Data'!$A$2:$F$29,6,FALSE),"")</f>
        <v>0.89166000000000001</v>
      </c>
      <c r="J14" s="252">
        <f t="shared" ca="1" si="3"/>
        <v>43984.781427430557</v>
      </c>
    </row>
    <row r="15" spans="1:10" ht="16.5" customHeight="1" x14ac:dyDescent="0.3">
      <c r="A15" s="105" t="s">
        <v>20</v>
      </c>
      <c r="B15" s="106">
        <f>IF($H$1="DDE",VLOOKUP(A15,'DDE Live Data'!$A$2:$D$29,2,FALSE),VLOOKUP(A15,#REF!,2,FALSE))</f>
        <v>2020</v>
      </c>
      <c r="C15" s="108">
        <f>IF($H$1="DDE",VLOOKUP(A15,'DDE Live Data'!$A$2:$D$29,3,FALSE),"")</f>
        <v>120.34699999999999</v>
      </c>
      <c r="D15" s="108">
        <f>IF($H$1="DDE",VLOOKUP(A15,'DDE Live Data'!$A$2:$D$29,4,FALSE),"")</f>
        <v>120.348</v>
      </c>
      <c r="E15" s="107">
        <f t="shared" si="0"/>
        <v>0.10000000000047748</v>
      </c>
      <c r="F15" s="108">
        <f t="shared" si="1"/>
        <v>1.0000000000047748E-3</v>
      </c>
      <c r="G15" s="109">
        <f t="shared" si="2"/>
        <v>120.3475</v>
      </c>
      <c r="H15" s="121">
        <f>IF($H$1="DDE",VLOOKUP(A15,'DDE Live Data'!$A$2:$F$29,5,FALSE),"")</f>
        <v>119.624</v>
      </c>
      <c r="I15" s="121">
        <f>IF($H$1="DDE",VLOOKUP(A15,'DDE Live Data'!$A$2:$F$29,6,FALSE),"")</f>
        <v>120.551</v>
      </c>
      <c r="J15" s="252">
        <f t="shared" ca="1" si="3"/>
        <v>43984.781427430557</v>
      </c>
    </row>
    <row r="16" spans="1:10" ht="16.5" customHeight="1" x14ac:dyDescent="0.3">
      <c r="A16" s="105" t="s">
        <v>8</v>
      </c>
      <c r="B16" s="106">
        <f>IF($H$1="DDE",VLOOKUP(A16,'DDE Live Data'!$A$2:$D$29,2,FALSE),VLOOKUP(A16,#REF!,2,FALSE))</f>
        <v>2020</v>
      </c>
      <c r="C16" s="108">
        <f>IF($H$1="DDE",VLOOKUP(A16,'DDE Live Data'!$A$2:$D$29,3,FALSE),"")</f>
        <v>1.76874</v>
      </c>
      <c r="D16" s="108">
        <f>IF($H$1="DDE",VLOOKUP(A16,'DDE Live Data'!$A$2:$D$29,4,FALSE),"")</f>
        <v>1.7687999999999999</v>
      </c>
      <c r="E16" s="107">
        <f t="shared" si="0"/>
        <v>0.59999999999948983</v>
      </c>
      <c r="F16" s="108">
        <f t="shared" si="1"/>
        <v>5.9999999999948983E-5</v>
      </c>
      <c r="G16" s="109">
        <f t="shared" si="2"/>
        <v>1.76877</v>
      </c>
      <c r="H16" s="121">
        <f>IF($H$1="DDE",VLOOKUP(A16,'DDE Live Data'!$A$2:$F$29,5,FALSE),"")</f>
        <v>1.7657</v>
      </c>
      <c r="I16" s="121">
        <f>IF($H$1="DDE",VLOOKUP(A16,'DDE Live Data'!$A$2:$F$29,6,FALSE),"")</f>
        <v>1.7780400000000001</v>
      </c>
      <c r="J16" s="252">
        <f t="shared" ca="1" si="3"/>
        <v>43984.781427430557</v>
      </c>
    </row>
    <row r="17" spans="1:10" ht="16.5" customHeight="1" x14ac:dyDescent="0.3">
      <c r="A17" s="105" t="s">
        <v>6</v>
      </c>
      <c r="B17" s="106">
        <f>IF($H$1="DDE",VLOOKUP(A17,'DDE Live Data'!$A$2:$D$29,2,FALSE),VLOOKUP(A17,#REF!,2,FALSE))</f>
        <v>2020</v>
      </c>
      <c r="C17" s="108">
        <f>IF($H$1="DDE",VLOOKUP(A17,'DDE Live Data'!$A$2:$D$29,3,FALSE),"")</f>
        <v>1.11686</v>
      </c>
      <c r="D17" s="108">
        <f>IF($H$1="DDE",VLOOKUP(A17,'DDE Live Data'!$A$2:$D$29,4,FALSE),"")</f>
        <v>1.11686</v>
      </c>
      <c r="E17" s="107">
        <f t="shared" si="0"/>
        <v>0</v>
      </c>
      <c r="F17" s="108">
        <f t="shared" si="1"/>
        <v>0</v>
      </c>
      <c r="G17" s="109">
        <f t="shared" si="2"/>
        <v>1.11686</v>
      </c>
      <c r="H17" s="121">
        <f>IF($H$1="DDE",VLOOKUP(A17,'DDE Live Data'!$A$2:$F$29,5,FALSE),"")</f>
        <v>1.1115200000000001</v>
      </c>
      <c r="I17" s="121">
        <f>IF($H$1="DDE",VLOOKUP(A17,'DDE Live Data'!$A$2:$F$29,6,FALSE),"")</f>
        <v>1.1187800000000001</v>
      </c>
      <c r="J17" s="252">
        <f t="shared" ca="1" si="3"/>
        <v>43984.781427430557</v>
      </c>
    </row>
    <row r="18" spans="1:10" ht="16.5" customHeight="1" x14ac:dyDescent="0.3">
      <c r="A18" s="105" t="s">
        <v>10</v>
      </c>
      <c r="B18" s="106">
        <f>IF($H$1="DDE",VLOOKUP(A18,'DDE Live Data'!$A$2:$D$29,2,FALSE),VLOOKUP(A18,#REF!,2,FALSE))</f>
        <v>2020</v>
      </c>
      <c r="C18" s="108">
        <f>IF($H$1="DDE",VLOOKUP(A18,'DDE Live Data'!$A$2:$D$29,3,FALSE),"")</f>
        <v>1.8332299999999999</v>
      </c>
      <c r="D18" s="108">
        <f>IF($H$1="DDE",VLOOKUP(A18,'DDE Live Data'!$A$2:$D$29,4,FALSE),"")</f>
        <v>1.8333299999999999</v>
      </c>
      <c r="E18" s="107">
        <f t="shared" si="0"/>
        <v>0.99999999999988987</v>
      </c>
      <c r="F18" s="108">
        <f t="shared" si="1"/>
        <v>9.9999999999988987E-5</v>
      </c>
      <c r="G18" s="109">
        <f t="shared" si="2"/>
        <v>1.8332799999999998</v>
      </c>
      <c r="H18" s="121">
        <f>IF($H$1="DDE",VLOOKUP(A18,'DDE Live Data'!$A$2:$F$29,5,FALSE),"")</f>
        <v>1.8292200000000001</v>
      </c>
      <c r="I18" s="121">
        <f>IF($H$1="DDE",VLOOKUP(A18,'DDE Live Data'!$A$2:$F$29,6,FALSE),"")</f>
        <v>1.8456300000000001</v>
      </c>
      <c r="J18" s="252">
        <f t="shared" ca="1" si="3"/>
        <v>43984.781427430557</v>
      </c>
    </row>
    <row r="19" spans="1:10" ht="16.5" customHeight="1" x14ac:dyDescent="0.3">
      <c r="A19" s="105" t="s">
        <v>14</v>
      </c>
      <c r="B19" s="106">
        <f>IF($H$1="DDE",VLOOKUP(A19,'DDE Live Data'!$A$2:$D$29,2,FALSE),VLOOKUP(A19,#REF!,2,FALSE))</f>
        <v>2020</v>
      </c>
      <c r="C19" s="108">
        <f>IF($H$1="DDE",VLOOKUP(A19,'DDE Live Data'!$A$2:$D$29,3,FALSE),"")</f>
        <v>1.69845</v>
      </c>
      <c r="D19" s="108">
        <f>IF($H$1="DDE",VLOOKUP(A19,'DDE Live Data'!$A$2:$D$29,4,FALSE),"")</f>
        <v>1.69852</v>
      </c>
      <c r="E19" s="107">
        <f>IF(ISNUMBER(SEARCH("JPY",A19)),((D19-C19)*100),((D19-C19)*10000))</f>
        <v>0.70000000000014495</v>
      </c>
      <c r="F19" s="108">
        <f>IF(ISNUMBER(SEARCH("JPY",A19)),((D19-C19)),((D19-C19)))</f>
        <v>7.0000000000014495E-5</v>
      </c>
      <c r="G19" s="109">
        <f>AVERAGE(C19:D19)</f>
        <v>1.698485</v>
      </c>
      <c r="H19" s="121">
        <f>IF($H$1="DDE",VLOOKUP(A19,'DDE Live Data'!$A$2:$F$29,5,FALSE),"")</f>
        <v>1.6906000000000001</v>
      </c>
      <c r="I19" s="121">
        <f>IF($H$1="DDE",VLOOKUP(A19,'DDE Live Data'!$A$2:$F$29,6,FALSE),"")</f>
        <v>1.6988000000000001</v>
      </c>
      <c r="J19" s="252">
        <f t="shared" ca="1" si="3"/>
        <v>43984.781427430557</v>
      </c>
    </row>
    <row r="20" spans="1:10" ht="16.5" customHeight="1" x14ac:dyDescent="0.3">
      <c r="A20" s="105" t="s">
        <v>29</v>
      </c>
      <c r="B20" s="106">
        <f>IF($H$1="DDE",VLOOKUP(A20,'DDE Live Data'!$A$2:$D$29,2,FALSE),VLOOKUP(A20,#REF!,2,FALSE))</f>
        <v>2020</v>
      </c>
      <c r="C20" s="108">
        <f>IF($H$1="DDE",VLOOKUP(A20,'DDE Live Data'!$A$2:$D$29,3,FALSE),"")</f>
        <v>1.20844</v>
      </c>
      <c r="D20" s="108">
        <f>IF($H$1="DDE",VLOOKUP(A20,'DDE Live Data'!$A$2:$D$29,4,FALSE),"")</f>
        <v>1.20852</v>
      </c>
      <c r="E20" s="107">
        <f t="shared" ref="E20:E30" si="4">IF(ISNUMBER(SEARCH("JPY",A20)),((D20-C20)*100),((D20-C20)*10000))</f>
        <v>0.80000000000080007</v>
      </c>
      <c r="F20" s="108">
        <f t="shared" ref="F20:F30" si="5">IF(ISNUMBER(SEARCH("JPY",A20)),((D20-C20)),((D20-C20)))</f>
        <v>8.0000000000080007E-5</v>
      </c>
      <c r="G20" s="109">
        <f t="shared" ref="G20:G30" si="6">AVERAGE(C20:D20)</f>
        <v>1.20848</v>
      </c>
      <c r="H20" s="121">
        <f>IF($H$1="DDE",VLOOKUP(A20,'DDE Live Data'!$A$2:$F$29,5,FALSE),"")</f>
        <v>1.1994</v>
      </c>
      <c r="I20" s="121">
        <f>IF($H$1="DDE",VLOOKUP(A20,'DDE Live Data'!$A$2:$F$29,6,FALSE),"")</f>
        <v>1.2097500000000001</v>
      </c>
      <c r="J20" s="252">
        <f t="shared" ca="1" si="3"/>
        <v>43984.781427430557</v>
      </c>
    </row>
    <row r="21" spans="1:10" ht="16.5" customHeight="1" x14ac:dyDescent="0.3">
      <c r="A21" s="105" t="s">
        <v>19</v>
      </c>
      <c r="B21" s="106">
        <f>IF($H$1="DDE",VLOOKUP(A21,'DDE Live Data'!$A$2:$D$29,2,FALSE),VLOOKUP(A21,#REF!,2,FALSE))</f>
        <v>2020</v>
      </c>
      <c r="C21" s="108">
        <f>IF($H$1="DDE",VLOOKUP(A21,'DDE Live Data'!$A$2:$D$29,3,FALSE),"")</f>
        <v>135.4</v>
      </c>
      <c r="D21" s="108">
        <f>IF($H$1="DDE",VLOOKUP(A21,'DDE Live Data'!$A$2:$D$29,4,FALSE),"")</f>
        <v>135.40199999999999</v>
      </c>
      <c r="E21" s="107">
        <f t="shared" si="4"/>
        <v>0.1999999999981128</v>
      </c>
      <c r="F21" s="108">
        <f t="shared" si="5"/>
        <v>1.999999999981128E-3</v>
      </c>
      <c r="G21" s="109">
        <f t="shared" si="6"/>
        <v>135.40100000000001</v>
      </c>
      <c r="H21" s="121">
        <f>IF($H$1="DDE",VLOOKUP(A21,'DDE Live Data'!$A$2:$F$29,5,FALSE),"")</f>
        <v>134.21899999999999</v>
      </c>
      <c r="I21" s="121">
        <f>IF($H$1="DDE",VLOOKUP(A21,'DDE Live Data'!$A$2:$F$29,6,FALSE),"")</f>
        <v>135.5</v>
      </c>
      <c r="J21" s="252">
        <f t="shared" ca="1" si="3"/>
        <v>43984.781427430557</v>
      </c>
    </row>
    <row r="22" spans="1:10" ht="16.5" customHeight="1" x14ac:dyDescent="0.3">
      <c r="A22" s="105" t="s">
        <v>7</v>
      </c>
      <c r="B22" s="106">
        <f>IF($H$1="DDE",VLOOKUP(A22,'DDE Live Data'!$A$2:$D$29,2,FALSE),VLOOKUP(A22,#REF!,2,FALSE))</f>
        <v>2020</v>
      </c>
      <c r="C22" s="108">
        <f>IF($H$1="DDE",VLOOKUP(A22,'DDE Live Data'!$A$2:$D$29,3,FALSE),"")</f>
        <v>1.9899100000000001</v>
      </c>
      <c r="D22" s="108">
        <f>IF($H$1="DDE",VLOOKUP(A22,'DDE Live Data'!$A$2:$D$29,4,FALSE),"")</f>
        <v>1.9901</v>
      </c>
      <c r="E22" s="107">
        <f t="shared" si="4"/>
        <v>1.8999999999991246</v>
      </c>
      <c r="F22" s="108">
        <f t="shared" si="5"/>
        <v>1.8999999999991246E-4</v>
      </c>
      <c r="G22" s="109">
        <f t="shared" si="6"/>
        <v>1.990005</v>
      </c>
      <c r="H22" s="121">
        <f>IF($H$1="DDE",VLOOKUP(A22,'DDE Live Data'!$A$2:$F$29,5,FALSE),"")</f>
        <v>1.98224</v>
      </c>
      <c r="I22" s="121">
        <f>IF($H$1="DDE",VLOOKUP(A22,'DDE Live Data'!$A$2:$F$29,6,FALSE),"")</f>
        <v>2.0001099999999998</v>
      </c>
      <c r="J22" s="252">
        <f t="shared" ca="1" si="3"/>
        <v>43984.781427430557</v>
      </c>
    </row>
    <row r="23" spans="1:10" ht="16.5" customHeight="1" x14ac:dyDescent="0.3">
      <c r="A23" s="105" t="s">
        <v>25</v>
      </c>
      <c r="B23" s="106">
        <f>IF($H$1="DDE",VLOOKUP(A23,'DDE Live Data'!$A$2:$D$29,2,FALSE),VLOOKUP(A23,#REF!,2,FALSE))</f>
        <v>2020</v>
      </c>
      <c r="C23" s="108">
        <f>IF($H$1="DDE",VLOOKUP(A23,'DDE Live Data'!$A$2:$D$29,3,FALSE),"")</f>
        <v>1.2565599999999999</v>
      </c>
      <c r="D23" s="108">
        <f>IF($H$1="DDE",VLOOKUP(A23,'DDE Live Data'!$A$2:$D$29,4,FALSE),"")</f>
        <v>1.2565599999999999</v>
      </c>
      <c r="E23" s="107">
        <f t="shared" si="4"/>
        <v>0</v>
      </c>
      <c r="F23" s="108">
        <f t="shared" si="5"/>
        <v>0</v>
      </c>
      <c r="G23" s="109">
        <f t="shared" si="6"/>
        <v>1.2565599999999999</v>
      </c>
      <c r="H23" s="121">
        <f>IF($H$1="DDE",VLOOKUP(A23,'DDE Live Data'!$A$2:$F$29,5,FALSE),"")</f>
        <v>1.2478499999999999</v>
      </c>
      <c r="I23" s="121">
        <f>IF($H$1="DDE",VLOOKUP(A23,'DDE Live Data'!$A$2:$F$29,6,FALSE),"")</f>
        <v>1.25762</v>
      </c>
      <c r="J23" s="252">
        <f t="shared" ca="1" si="3"/>
        <v>43984.781427430557</v>
      </c>
    </row>
    <row r="24" spans="1:10" ht="16.5" customHeight="1" x14ac:dyDescent="0.3">
      <c r="A24" s="105" t="s">
        <v>13</v>
      </c>
      <c r="B24" s="106">
        <f>IF($H$1="DDE",VLOOKUP(A24,'DDE Live Data'!$A$2:$D$29,2,FALSE),VLOOKUP(A24,#REF!,2,FALSE))</f>
        <v>2020</v>
      </c>
      <c r="C24" s="108">
        <f>IF($H$1="DDE",VLOOKUP(A24,'DDE Live Data'!$A$2:$D$29,3,FALSE),"")</f>
        <v>0.85346</v>
      </c>
      <c r="D24" s="108">
        <f>IF($H$1="DDE",VLOOKUP(A24,'DDE Live Data'!$A$2:$D$29,4,FALSE),"")</f>
        <v>0.85353999999999997</v>
      </c>
      <c r="E24" s="107">
        <f t="shared" si="4"/>
        <v>0.79999999999968985</v>
      </c>
      <c r="F24" s="108">
        <f t="shared" si="5"/>
        <v>7.9999999999968985E-5</v>
      </c>
      <c r="G24" s="109">
        <f t="shared" si="6"/>
        <v>0.85349999999999993</v>
      </c>
      <c r="H24" s="121">
        <f>IF($H$1="DDE",VLOOKUP(A24,'DDE Live Data'!$A$2:$F$29,5,FALSE),"")</f>
        <v>0.84818000000000005</v>
      </c>
      <c r="I24" s="121">
        <f>IF($H$1="DDE",VLOOKUP(A24,'DDE Live Data'!$A$2:$F$29,6,FALSE),"")</f>
        <v>0.85543000000000002</v>
      </c>
      <c r="J24" s="252">
        <f t="shared" ca="1" si="3"/>
        <v>43984.781427430557</v>
      </c>
    </row>
    <row r="25" spans="1:10" ht="16.5" customHeight="1" x14ac:dyDescent="0.3">
      <c r="A25" s="105" t="s">
        <v>28</v>
      </c>
      <c r="B25" s="106">
        <f>IF($H$1="DDE",VLOOKUP(A25,'DDE Live Data'!$A$2:$D$29,2,FALSE),VLOOKUP(A25,#REF!,2,FALSE))</f>
        <v>2020</v>
      </c>
      <c r="C25" s="108">
        <f>IF($H$1="DDE",VLOOKUP(A25,'DDE Live Data'!$A$2:$D$29,3,FALSE),"")</f>
        <v>0.60726999999999998</v>
      </c>
      <c r="D25" s="108">
        <f>IF($H$1="DDE",VLOOKUP(A25,'DDE Live Data'!$A$2:$D$29,4,FALSE),"")</f>
        <v>0.60729</v>
      </c>
      <c r="E25" s="107">
        <f t="shared" si="4"/>
        <v>0.20000000000020002</v>
      </c>
      <c r="F25" s="108">
        <f t="shared" si="5"/>
        <v>2.0000000000020002E-5</v>
      </c>
      <c r="G25" s="109">
        <f t="shared" si="6"/>
        <v>0.60728000000000004</v>
      </c>
      <c r="H25" s="121">
        <f>IF($H$1="DDE",VLOOKUP(A25,'DDE Live Data'!$A$2:$F$29,5,FALSE),"")</f>
        <v>0.60136999999999996</v>
      </c>
      <c r="I25" s="121">
        <f>IF($H$1="DDE",VLOOKUP(A25,'DDE Live Data'!$A$2:$F$29,6,FALSE),"")</f>
        <v>0.60785999999999996</v>
      </c>
      <c r="J25" s="252">
        <f t="shared" ca="1" si="3"/>
        <v>43984.781427430557</v>
      </c>
    </row>
    <row r="26" spans="1:10" ht="16.5" customHeight="1" x14ac:dyDescent="0.3">
      <c r="A26" s="105" t="s">
        <v>18</v>
      </c>
      <c r="B26" s="106">
        <f>IF($H$1="DDE",VLOOKUP(A26,'DDE Live Data'!$A$2:$D$29,2,FALSE),VLOOKUP(A26,#REF!,2,FALSE))</f>
        <v>2020</v>
      </c>
      <c r="C26" s="108">
        <f>IF($H$1="DDE",VLOOKUP(A26,'DDE Live Data'!$A$2:$D$29,3,FALSE),"")</f>
        <v>68.039000000000001</v>
      </c>
      <c r="D26" s="108">
        <f>IF($H$1="DDE",VLOOKUP(A26,'DDE Live Data'!$A$2:$D$29,4,FALSE),"")</f>
        <v>68.043000000000006</v>
      </c>
      <c r="E26" s="107">
        <f t="shared" si="4"/>
        <v>0.40000000000048885</v>
      </c>
      <c r="F26" s="108">
        <f t="shared" si="5"/>
        <v>4.0000000000048885E-3</v>
      </c>
      <c r="G26" s="109">
        <f t="shared" si="6"/>
        <v>68.040999999999997</v>
      </c>
      <c r="H26" s="121">
        <f>IF($H$1="DDE",VLOOKUP(A26,'DDE Live Data'!$A$2:$F$29,5,FALSE),"")</f>
        <v>67.515000000000001</v>
      </c>
      <c r="I26" s="121">
        <f>IF($H$1="DDE",VLOOKUP(A26,'DDE Live Data'!$A$2:$F$29,6,FALSE),"")</f>
        <v>68.072000000000003</v>
      </c>
      <c r="J26" s="252">
        <f t="shared" ca="1" si="3"/>
        <v>43984.781427430557</v>
      </c>
    </row>
    <row r="27" spans="1:10" ht="16.5" customHeight="1" x14ac:dyDescent="0.3">
      <c r="A27" s="105" t="s">
        <v>24</v>
      </c>
      <c r="B27" s="106">
        <f>IF($H$1="DDE",VLOOKUP(A27,'DDE Live Data'!$A$2:$D$29,2,FALSE),VLOOKUP(A27,#REF!,2,FALSE))</f>
        <v>2020</v>
      </c>
      <c r="C27" s="108">
        <f>IF($H$1="DDE",VLOOKUP(A27,'DDE Live Data'!$A$2:$D$29,3,FALSE),"")</f>
        <v>0.63141999999999998</v>
      </c>
      <c r="D27" s="108">
        <f>IF($H$1="DDE",VLOOKUP(A27,'DDE Live Data'!$A$2:$D$29,4,FALSE),"")</f>
        <v>0.63143000000000005</v>
      </c>
      <c r="E27" s="107">
        <f t="shared" si="4"/>
        <v>0.10000000000065512</v>
      </c>
      <c r="F27" s="108">
        <f t="shared" si="5"/>
        <v>1.0000000000065512E-5</v>
      </c>
      <c r="G27" s="109">
        <f t="shared" si="6"/>
        <v>0.63142500000000001</v>
      </c>
      <c r="H27" s="121">
        <f>IF($H$1="DDE",VLOOKUP(A27,'DDE Live Data'!$A$2:$F$29,5,FALSE),"")</f>
        <v>0.62629000000000001</v>
      </c>
      <c r="I27" s="121">
        <f>IF($H$1="DDE",VLOOKUP(A27,'DDE Live Data'!$A$2:$F$29,6,FALSE),"")</f>
        <v>0.63180999999999998</v>
      </c>
      <c r="J27" s="252">
        <f t="shared" ca="1" si="3"/>
        <v>43984.781427430557</v>
      </c>
    </row>
    <row r="28" spans="1:10" ht="16.5" customHeight="1" x14ac:dyDescent="0.3">
      <c r="A28" s="105" t="s">
        <v>12</v>
      </c>
      <c r="B28" s="106">
        <f>IF($H$1="DDE",VLOOKUP(A28,'DDE Live Data'!$A$2:$D$29,2,FALSE),VLOOKUP(A28,#REF!,2,FALSE))</f>
        <v>2020</v>
      </c>
      <c r="C28" s="108">
        <f>IF($H$1="DDE",VLOOKUP(A28,'DDE Live Data'!$A$2:$D$29,3,FALSE),"")</f>
        <v>1.35168</v>
      </c>
      <c r="D28" s="108">
        <f>IF($H$1="DDE",VLOOKUP(A28,'DDE Live Data'!$A$2:$D$29,4,FALSE),"")</f>
        <v>1.35172</v>
      </c>
      <c r="E28" s="107">
        <f t="shared" si="4"/>
        <v>0.40000000000040004</v>
      </c>
      <c r="F28" s="108">
        <f t="shared" si="5"/>
        <v>4.0000000000040004E-5</v>
      </c>
      <c r="G28" s="109">
        <f t="shared" si="6"/>
        <v>1.3517000000000001</v>
      </c>
      <c r="H28" s="121">
        <f>IF($H$1="DDE",VLOOKUP(A28,'DDE Live Data'!$A$2:$F$29,5,FALSE),"")</f>
        <v>1.3493200000000001</v>
      </c>
      <c r="I28" s="121">
        <f>IF($H$1="DDE",VLOOKUP(A28,'DDE Live Data'!$A$2:$F$29,6,FALSE),"")</f>
        <v>1.3585199999999999</v>
      </c>
      <c r="J28" s="252">
        <f t="shared" ca="1" si="3"/>
        <v>43984.781427430557</v>
      </c>
    </row>
    <row r="29" spans="1:10" ht="16.5" customHeight="1" x14ac:dyDescent="0.3">
      <c r="A29" s="105" t="s">
        <v>27</v>
      </c>
      <c r="B29" s="106">
        <f>IF($H$1="DDE",VLOOKUP(A29,'DDE Live Data'!$A$2:$D$29,2,FALSE),VLOOKUP(A29,#REF!,2,FALSE))</f>
        <v>2020</v>
      </c>
      <c r="C29" s="108">
        <f>IF($H$1="DDE",VLOOKUP(A29,'DDE Live Data'!$A$2:$D$29,3,FALSE),"")</f>
        <v>0.96170999999999995</v>
      </c>
      <c r="D29" s="108">
        <f>IF($H$1="DDE",VLOOKUP(A29,'DDE Live Data'!$A$2:$D$29,4,FALSE),"")</f>
        <v>0.96172999999999997</v>
      </c>
      <c r="E29" s="107">
        <f t="shared" si="4"/>
        <v>0.20000000000020002</v>
      </c>
      <c r="F29" s="108">
        <f t="shared" si="5"/>
        <v>2.0000000000020002E-5</v>
      </c>
      <c r="G29" s="109">
        <f t="shared" si="6"/>
        <v>0.96171999999999991</v>
      </c>
      <c r="H29" s="121">
        <f>IF($H$1="DDE",VLOOKUP(A29,'DDE Live Data'!$A$2:$F$29,5,FALSE),"")</f>
        <v>0.95730999999999999</v>
      </c>
      <c r="I29" s="121">
        <f>IF($H$1="DDE",VLOOKUP(A29,'DDE Live Data'!$A$2:$F$29,6,FALSE),"")</f>
        <v>0.96297999999999995</v>
      </c>
      <c r="J29" s="252">
        <f t="shared" ca="1" si="3"/>
        <v>43984.781427430557</v>
      </c>
    </row>
    <row r="30" spans="1:10" ht="16.5" customHeight="1" x14ac:dyDescent="0.3">
      <c r="A30" s="105" t="s">
        <v>17</v>
      </c>
      <c r="B30" s="106">
        <f>IF($H$1="DDE",VLOOKUP(A30,'DDE Live Data'!$A$2:$D$29,2,FALSE),VLOOKUP(A30,#REF!,2,FALSE))</f>
        <v>2020</v>
      </c>
      <c r="C30" s="108">
        <f>IF($H$1="DDE",VLOOKUP(A30,'DDE Live Data'!$A$2:$D$29,3,FALSE),"")</f>
        <v>107.756</v>
      </c>
      <c r="D30" s="108">
        <f>IF($H$1="DDE",VLOOKUP(A30,'DDE Live Data'!$A$2:$D$29,4,FALSE),"")</f>
        <v>107.756</v>
      </c>
      <c r="E30" s="107">
        <f t="shared" si="4"/>
        <v>0</v>
      </c>
      <c r="F30" s="108">
        <f t="shared" si="5"/>
        <v>0</v>
      </c>
      <c r="G30" s="109">
        <f t="shared" si="6"/>
        <v>107.756</v>
      </c>
      <c r="H30" s="121">
        <f>IF($H$1="DDE",VLOOKUP(A30,'DDE Live Data'!$A$2:$F$29,5,FALSE),"")</f>
        <v>107.514</v>
      </c>
      <c r="I30" s="121">
        <f>IF($H$1="DDE",VLOOKUP(A30,'DDE Live Data'!$A$2:$F$29,6,FALSE),"")</f>
        <v>107.836</v>
      </c>
      <c r="J30" s="252">
        <f t="shared" ca="1" si="3"/>
        <v>43984.781427430557</v>
      </c>
    </row>
  </sheetData>
  <mergeCells count="3">
    <mergeCell ref="H1:I1"/>
    <mergeCell ref="B1:D1"/>
    <mergeCell ref="E1:G1"/>
  </mergeCells>
  <pageMargins left="0.7" right="0.7" top="0.75" bottom="0.75" header="0.3" footer="0.3"/>
  <pageSetup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R84"/>
  <sheetViews>
    <sheetView workbookViewId="0">
      <selection activeCell="U10" sqref="U10"/>
    </sheetView>
  </sheetViews>
  <sheetFormatPr defaultColWidth="18.88671875" defaultRowHeight="16.5" customHeight="1" x14ac:dyDescent="0.3"/>
  <cols>
    <col min="1" max="1" width="22.44140625" style="21" customWidth="1"/>
    <col min="2" max="2" width="7.109375" style="24" hidden="1" customWidth="1"/>
    <col min="3" max="3" width="7.109375" style="25" hidden="1" customWidth="1"/>
    <col min="4" max="4" width="12.109375" style="26" hidden="1" customWidth="1"/>
    <col min="5" max="5" width="7.6640625" style="27" hidden="1" customWidth="1"/>
    <col min="6" max="6" width="7.6640625" style="26" hidden="1" customWidth="1"/>
    <col min="7" max="9" width="8.77734375" style="21" hidden="1" customWidth="1"/>
    <col min="10" max="11" width="11" style="22" hidden="1" customWidth="1"/>
    <col min="12" max="12" width="23.109375" style="23" customWidth="1"/>
    <col min="13" max="14" width="14.44140625" style="20" hidden="1" customWidth="1"/>
    <col min="15" max="15" width="7.6640625" style="21" hidden="1" customWidth="1"/>
    <col min="16" max="16" width="11" style="22" hidden="1" customWidth="1"/>
    <col min="17" max="17" width="4.33203125" style="21" hidden="1" customWidth="1"/>
    <col min="18" max="18" width="9" style="20" hidden="1" customWidth="1"/>
    <col min="19" max="19" width="20.33203125" style="21" customWidth="1"/>
    <col min="20" max="16384" width="18.88671875" style="21"/>
  </cols>
  <sheetData>
    <row r="1" spans="1:18" s="19" customFormat="1" ht="16.5" customHeight="1" x14ac:dyDescent="0.3">
      <c r="A1" s="92" t="s">
        <v>37</v>
      </c>
      <c r="B1" s="93" t="s">
        <v>52</v>
      </c>
      <c r="C1" s="92" t="s">
        <v>53</v>
      </c>
      <c r="D1" s="94" t="s">
        <v>54</v>
      </c>
      <c r="E1" s="95" t="s">
        <v>55</v>
      </c>
      <c r="F1" s="94" t="s">
        <v>55</v>
      </c>
      <c r="G1" s="96" t="s">
        <v>56</v>
      </c>
      <c r="H1" s="96" t="s">
        <v>57</v>
      </c>
      <c r="I1" s="96" t="s">
        <v>58</v>
      </c>
      <c r="J1" s="97" t="s">
        <v>60</v>
      </c>
      <c r="K1" s="98" t="s">
        <v>59</v>
      </c>
      <c r="L1" s="99" t="s">
        <v>61</v>
      </c>
      <c r="M1" s="17" t="s">
        <v>62</v>
      </c>
      <c r="N1" s="18" t="s">
        <v>63</v>
      </c>
      <c r="O1" s="318" t="s">
        <v>64</v>
      </c>
      <c r="P1" s="318"/>
      <c r="Q1" s="318"/>
      <c r="R1" s="318"/>
    </row>
    <row r="2" spans="1:18" ht="16.5" customHeight="1" x14ac:dyDescent="0.3">
      <c r="A2" s="80" t="s">
        <v>16</v>
      </c>
      <c r="B2" s="81" t="str">
        <f>LEFT(A2,3)</f>
        <v>AUD</v>
      </c>
      <c r="C2" s="82" t="str">
        <f>RIGHT(A2,3)</f>
        <v>CAD</v>
      </c>
      <c r="D2" s="83">
        <v>100000</v>
      </c>
      <c r="E2" s="84">
        <f>IF(F2=FALSE,0.0001,0.01)</f>
        <v>1E-4</v>
      </c>
      <c r="F2" s="83" t="b">
        <f>ISNUMBER(SEARCH("JPY",A2))</f>
        <v>0</v>
      </c>
      <c r="G2" s="85" t="b">
        <f t="shared" ref="G2:G29" si="0">ISNUMBER(SEARCH("USD",A2))</f>
        <v>0</v>
      </c>
      <c r="H2" s="85" t="str">
        <f>IF(B2="USD","TRUE","FALSE")</f>
        <v>FALSE</v>
      </c>
      <c r="I2" s="85" t="str">
        <f>IF(C2="USD","TRUE","FALSE")</f>
        <v>FALSE</v>
      </c>
      <c r="J2" s="86">
        <f>VLOOKUP(A2,'Data Feed'!$A$3:$D$30,3,FALSE)</f>
        <v>0.92645999999999995</v>
      </c>
      <c r="K2" s="87">
        <f>VLOOKUP(A2,'Data Feed'!$A$3:$D$30,4,FALSE)</f>
        <v>0.92649999999999999</v>
      </c>
      <c r="L2" s="100">
        <f>IF(I2="TRUE",D2*E2,(IF(H2="TRUE",(D2*E2)/K2,(IF(G2=FALSE,R2,"")))))</f>
        <v>7.3982007575757578</v>
      </c>
      <c r="M2" s="20" t="str">
        <f t="shared" ref="M2:M29" si="1">IF(I2="TRUE",D2*E2,"")</f>
        <v/>
      </c>
      <c r="N2" s="20" t="str">
        <f t="shared" ref="N2:N29" si="2">IF(H2="TRUE",(D2*E2)/K2,"")</f>
        <v/>
      </c>
      <c r="O2" s="21" t="str">
        <f t="shared" ref="O2:O29" si="3">IF(G2=FALSE,IFERROR(VLOOKUP(C2&amp;"USD",$A$2:$A$29,1,FALSE),"USD"&amp;C2),"")</f>
        <v>USDCAD</v>
      </c>
      <c r="P2" s="22">
        <f t="shared" ref="P2:P29" si="4">IF(O2="","",(IF(LEFT(O2,3)="USD",VLOOKUP(O2,$A$2:$K$29,10,FALSE),VLOOKUP(O2,$A$2:$K$29,11,FALSE))))</f>
        <v>1.35168</v>
      </c>
      <c r="Q2" s="21" t="str">
        <f>IF(O2="","",(IF(LEFT(O2,3)="USD","ASK","BID")))</f>
        <v>ASK</v>
      </c>
      <c r="R2" s="20">
        <f t="shared" ref="R2:R29" si="5">IF(Q2="ASK",(D2*E2/P2),(IF(Q2="BID",((D2*E2)*P2),"")))</f>
        <v>7.3982007575757578</v>
      </c>
    </row>
    <row r="3" spans="1:18" ht="16.5" customHeight="1" x14ac:dyDescent="0.3">
      <c r="A3" s="80" t="s">
        <v>32</v>
      </c>
      <c r="B3" s="81" t="str">
        <f t="shared" ref="B3:B29" si="6">LEFT(A3,3)</f>
        <v>AUD</v>
      </c>
      <c r="C3" s="82" t="str">
        <f t="shared" ref="C3:C29" si="7">RIGHT(A3,3)</f>
        <v>CHF</v>
      </c>
      <c r="D3" s="83">
        <v>100000</v>
      </c>
      <c r="E3" s="84">
        <f t="shared" ref="E3:E29" si="8">IF(F3=FALSE,0.0001,0.01)</f>
        <v>1E-4</v>
      </c>
      <c r="F3" s="83" t="b">
        <f t="shared" ref="F3:F29" si="9">ISNUMBER(SEARCH("JPY",A3))</f>
        <v>0</v>
      </c>
      <c r="G3" s="85" t="b">
        <f t="shared" si="0"/>
        <v>0</v>
      </c>
      <c r="H3" s="85" t="str">
        <f t="shared" ref="H3:I29" si="10">IF(B3="USD","TRUE","FALSE")</f>
        <v>FALSE</v>
      </c>
      <c r="I3" s="85" t="str">
        <f t="shared" si="10"/>
        <v>FALSE</v>
      </c>
      <c r="J3" s="86">
        <f>VLOOKUP(A3,'Data Feed'!$A$3:$D$30,3,FALSE)</f>
        <v>0.65917000000000003</v>
      </c>
      <c r="K3" s="87">
        <f>VLOOKUP(A3,'Data Feed'!$A$3:$D$30,4,FALSE)</f>
        <v>0.65920999999999996</v>
      </c>
      <c r="L3" s="100">
        <f t="shared" ref="L3:L29" si="11">IF(I3="TRUE",D3*E3,(IF(H3="TRUE",(D3*E3)/K3,(IF(G3=FALSE,R3,"")))))</f>
        <v>10.398144970937185</v>
      </c>
      <c r="M3" s="20" t="str">
        <f t="shared" si="1"/>
        <v/>
      </c>
      <c r="N3" s="20" t="str">
        <f t="shared" si="2"/>
        <v/>
      </c>
      <c r="O3" s="21" t="str">
        <f t="shared" si="3"/>
        <v>USDCHF</v>
      </c>
      <c r="P3" s="22">
        <f t="shared" si="4"/>
        <v>0.96170999999999995</v>
      </c>
      <c r="Q3" s="21" t="str">
        <f t="shared" ref="Q3:Q29" si="12">IF(O3="","",(IF(LEFT(O3,3)="USD","ASK","BID")))</f>
        <v>ASK</v>
      </c>
      <c r="R3" s="20">
        <f t="shared" si="5"/>
        <v>10.398144970937185</v>
      </c>
    </row>
    <row r="4" spans="1:18" ht="16.5" customHeight="1" x14ac:dyDescent="0.3">
      <c r="A4" s="80" t="s">
        <v>23</v>
      </c>
      <c r="B4" s="81" t="str">
        <f t="shared" si="6"/>
        <v>AUD</v>
      </c>
      <c r="C4" s="82" t="str">
        <f t="shared" si="7"/>
        <v>JPY</v>
      </c>
      <c r="D4" s="83">
        <v>100000</v>
      </c>
      <c r="E4" s="84">
        <f t="shared" si="8"/>
        <v>0.01</v>
      </c>
      <c r="F4" s="83" t="b">
        <f t="shared" si="9"/>
        <v>1</v>
      </c>
      <c r="G4" s="85" t="b">
        <f t="shared" si="0"/>
        <v>0</v>
      </c>
      <c r="H4" s="85" t="str">
        <f t="shared" si="10"/>
        <v>FALSE</v>
      </c>
      <c r="I4" s="85" t="str">
        <f t="shared" si="10"/>
        <v>FALSE</v>
      </c>
      <c r="J4" s="86">
        <f>VLOOKUP(A4,'Data Feed'!$A$3:$D$30,3,FALSE)</f>
        <v>73.855999999999995</v>
      </c>
      <c r="K4" s="87">
        <f>VLOOKUP(A4,'Data Feed'!$A$3:$D$30,4,FALSE)</f>
        <v>73.858999999999995</v>
      </c>
      <c r="L4" s="100">
        <f t="shared" si="11"/>
        <v>9.2802256950889053</v>
      </c>
      <c r="M4" s="20" t="str">
        <f t="shared" si="1"/>
        <v/>
      </c>
      <c r="N4" s="20" t="str">
        <f t="shared" si="2"/>
        <v/>
      </c>
      <c r="O4" s="21" t="str">
        <f t="shared" si="3"/>
        <v>USDJPY</v>
      </c>
      <c r="P4" s="22">
        <f t="shared" si="4"/>
        <v>107.756</v>
      </c>
      <c r="Q4" s="21" t="str">
        <f t="shared" si="12"/>
        <v>ASK</v>
      </c>
      <c r="R4" s="20">
        <f t="shared" si="5"/>
        <v>9.2802256950889053</v>
      </c>
    </row>
    <row r="5" spans="1:18" ht="16.5" customHeight="1" x14ac:dyDescent="0.3">
      <c r="A5" s="80" t="s">
        <v>9</v>
      </c>
      <c r="B5" s="81" t="str">
        <f t="shared" si="6"/>
        <v>AUD</v>
      </c>
      <c r="C5" s="82" t="str">
        <f t="shared" si="7"/>
        <v>NZD</v>
      </c>
      <c r="D5" s="83">
        <v>100000</v>
      </c>
      <c r="E5" s="84">
        <f t="shared" si="8"/>
        <v>1E-4</v>
      </c>
      <c r="F5" s="83" t="b">
        <f t="shared" si="9"/>
        <v>0</v>
      </c>
      <c r="G5" s="85" t="b">
        <f t="shared" si="0"/>
        <v>0</v>
      </c>
      <c r="H5" s="85" t="str">
        <f t="shared" si="10"/>
        <v>FALSE</v>
      </c>
      <c r="I5" s="85" t="str">
        <f t="shared" si="10"/>
        <v>FALSE</v>
      </c>
      <c r="J5" s="86">
        <f>VLOOKUP(A5,'Data Feed'!$A$3:$D$30,3,FALSE)</f>
        <v>1.08544</v>
      </c>
      <c r="K5" s="87">
        <f>VLOOKUP(A5,'Data Feed'!$A$3:$D$30,4,FALSE)</f>
        <v>1.08551</v>
      </c>
      <c r="L5" s="100">
        <f t="shared" si="11"/>
        <v>6.3143000000000002</v>
      </c>
      <c r="M5" s="20" t="str">
        <f t="shared" si="1"/>
        <v/>
      </c>
      <c r="N5" s="20" t="str">
        <f t="shared" si="2"/>
        <v/>
      </c>
      <c r="O5" s="21" t="str">
        <f t="shared" si="3"/>
        <v>NZDUSD</v>
      </c>
      <c r="P5" s="22">
        <f t="shared" si="4"/>
        <v>0.63143000000000005</v>
      </c>
      <c r="Q5" s="21" t="str">
        <f t="shared" si="12"/>
        <v>BID</v>
      </c>
      <c r="R5" s="20">
        <f t="shared" si="5"/>
        <v>6.3143000000000002</v>
      </c>
    </row>
    <row r="6" spans="1:18" ht="16.5" customHeight="1" x14ac:dyDescent="0.3">
      <c r="A6" s="80" t="s">
        <v>26</v>
      </c>
      <c r="B6" s="81" t="str">
        <f t="shared" si="6"/>
        <v>AUD</v>
      </c>
      <c r="C6" s="82" t="str">
        <f t="shared" si="7"/>
        <v>USD</v>
      </c>
      <c r="D6" s="83">
        <v>100000</v>
      </c>
      <c r="E6" s="84">
        <f t="shared" si="8"/>
        <v>1E-4</v>
      </c>
      <c r="F6" s="83" t="b">
        <f t="shared" si="9"/>
        <v>0</v>
      </c>
      <c r="G6" s="85" t="b">
        <f t="shared" si="0"/>
        <v>1</v>
      </c>
      <c r="H6" s="85" t="str">
        <f t="shared" si="10"/>
        <v>FALSE</v>
      </c>
      <c r="I6" s="85" t="str">
        <f t="shared" si="10"/>
        <v>TRUE</v>
      </c>
      <c r="J6" s="86">
        <f>VLOOKUP(A6,'Data Feed'!$A$3:$D$30,3,FALSE)</f>
        <v>0.68540999999999996</v>
      </c>
      <c r="K6" s="87">
        <f>VLOOKUP(A6,'Data Feed'!$A$3:$D$30,4,FALSE)</f>
        <v>0.68542999999999998</v>
      </c>
      <c r="L6" s="100">
        <f t="shared" si="11"/>
        <v>10</v>
      </c>
      <c r="M6" s="20">
        <f t="shared" si="1"/>
        <v>10</v>
      </c>
      <c r="N6" s="20" t="str">
        <f t="shared" si="2"/>
        <v/>
      </c>
      <c r="O6" s="21" t="str">
        <f t="shared" si="3"/>
        <v/>
      </c>
      <c r="P6" s="22" t="str">
        <f t="shared" si="4"/>
        <v/>
      </c>
      <c r="Q6" s="21" t="str">
        <f t="shared" si="12"/>
        <v/>
      </c>
      <c r="R6" s="20" t="str">
        <f t="shared" si="5"/>
        <v/>
      </c>
    </row>
    <row r="7" spans="1:18" ht="16.5" customHeight="1" x14ac:dyDescent="0.3">
      <c r="A7" s="80" t="s">
        <v>31</v>
      </c>
      <c r="B7" s="81" t="str">
        <f t="shared" si="6"/>
        <v>CAD</v>
      </c>
      <c r="C7" s="82" t="str">
        <f t="shared" si="7"/>
        <v>CHF</v>
      </c>
      <c r="D7" s="83">
        <v>100000</v>
      </c>
      <c r="E7" s="84">
        <f t="shared" si="8"/>
        <v>1E-4</v>
      </c>
      <c r="F7" s="83" t="b">
        <f t="shared" si="9"/>
        <v>0</v>
      </c>
      <c r="G7" s="85" t="b">
        <f t="shared" si="0"/>
        <v>0</v>
      </c>
      <c r="H7" s="85" t="str">
        <f t="shared" si="10"/>
        <v>FALSE</v>
      </c>
      <c r="I7" s="85" t="str">
        <f t="shared" si="10"/>
        <v>FALSE</v>
      </c>
      <c r="J7" s="86">
        <f>VLOOKUP(A7,'Data Feed'!$A$3:$D$30,3,FALSE)</f>
        <v>0.71150000000000002</v>
      </c>
      <c r="K7" s="87">
        <f>VLOOKUP(A7,'Data Feed'!$A$3:$D$30,4,FALSE)</f>
        <v>0.71152000000000004</v>
      </c>
      <c r="L7" s="100">
        <f t="shared" si="11"/>
        <v>10.398144970937185</v>
      </c>
      <c r="M7" s="20" t="str">
        <f t="shared" si="1"/>
        <v/>
      </c>
      <c r="N7" s="20" t="str">
        <f t="shared" si="2"/>
        <v/>
      </c>
      <c r="O7" s="21" t="str">
        <f t="shared" si="3"/>
        <v>USDCHF</v>
      </c>
      <c r="P7" s="22">
        <f t="shared" si="4"/>
        <v>0.96170999999999995</v>
      </c>
      <c r="Q7" s="21" t="str">
        <f t="shared" si="12"/>
        <v>ASK</v>
      </c>
      <c r="R7" s="20">
        <f t="shared" si="5"/>
        <v>10.398144970937185</v>
      </c>
    </row>
    <row r="8" spans="1:18" ht="16.5" customHeight="1" x14ac:dyDescent="0.3">
      <c r="A8" s="80" t="s">
        <v>22</v>
      </c>
      <c r="B8" s="81" t="str">
        <f t="shared" si="6"/>
        <v>CAD</v>
      </c>
      <c r="C8" s="82" t="str">
        <f t="shared" si="7"/>
        <v>JPY</v>
      </c>
      <c r="D8" s="83">
        <v>100000</v>
      </c>
      <c r="E8" s="84">
        <f t="shared" si="8"/>
        <v>0.01</v>
      </c>
      <c r="F8" s="83" t="b">
        <f t="shared" si="9"/>
        <v>1</v>
      </c>
      <c r="G8" s="85" t="b">
        <f t="shared" si="0"/>
        <v>0</v>
      </c>
      <c r="H8" s="85" t="str">
        <f t="shared" si="10"/>
        <v>FALSE</v>
      </c>
      <c r="I8" s="85" t="str">
        <f t="shared" si="10"/>
        <v>FALSE</v>
      </c>
      <c r="J8" s="86">
        <f>VLOOKUP(A8,'Data Feed'!$A$3:$D$30,3,FALSE)</f>
        <v>79.716999999999999</v>
      </c>
      <c r="K8" s="87">
        <f>VLOOKUP(A8,'Data Feed'!$A$3:$D$30,4,FALSE)</f>
        <v>79.718999999999994</v>
      </c>
      <c r="L8" s="100">
        <f t="shared" si="11"/>
        <v>9.2802256950889053</v>
      </c>
      <c r="M8" s="20" t="str">
        <f t="shared" si="1"/>
        <v/>
      </c>
      <c r="N8" s="20" t="str">
        <f t="shared" si="2"/>
        <v/>
      </c>
      <c r="O8" s="21" t="str">
        <f t="shared" si="3"/>
        <v>USDJPY</v>
      </c>
      <c r="P8" s="22">
        <f t="shared" si="4"/>
        <v>107.756</v>
      </c>
      <c r="Q8" s="21" t="str">
        <f t="shared" si="12"/>
        <v>ASK</v>
      </c>
      <c r="R8" s="20">
        <f t="shared" si="5"/>
        <v>9.2802256950889053</v>
      </c>
    </row>
    <row r="9" spans="1:18" ht="16.5" customHeight="1" x14ac:dyDescent="0.3">
      <c r="A9" s="80" t="s">
        <v>21</v>
      </c>
      <c r="B9" s="81" t="str">
        <f t="shared" si="6"/>
        <v>CHF</v>
      </c>
      <c r="C9" s="82" t="str">
        <f t="shared" si="7"/>
        <v>JPY</v>
      </c>
      <c r="D9" s="83">
        <v>100000</v>
      </c>
      <c r="E9" s="84">
        <f t="shared" si="8"/>
        <v>0.01</v>
      </c>
      <c r="F9" s="83" t="b">
        <f t="shared" si="9"/>
        <v>1</v>
      </c>
      <c r="G9" s="85" t="b">
        <f t="shared" si="0"/>
        <v>0</v>
      </c>
      <c r="H9" s="85" t="str">
        <f t="shared" si="10"/>
        <v>FALSE</v>
      </c>
      <c r="I9" s="85" t="str">
        <f t="shared" si="10"/>
        <v>FALSE</v>
      </c>
      <c r="J9" s="86">
        <f>VLOOKUP(A9,'Data Feed'!$A$3:$D$30,3,FALSE)</f>
        <v>112.04</v>
      </c>
      <c r="K9" s="87">
        <f>VLOOKUP(A9,'Data Feed'!$A$3:$D$30,4,FALSE)</f>
        <v>112.04600000000001</v>
      </c>
      <c r="L9" s="100">
        <f t="shared" si="11"/>
        <v>9.2802256950889053</v>
      </c>
      <c r="M9" s="20" t="str">
        <f t="shared" si="1"/>
        <v/>
      </c>
      <c r="N9" s="20" t="str">
        <f t="shared" si="2"/>
        <v/>
      </c>
      <c r="O9" s="21" t="str">
        <f t="shared" si="3"/>
        <v>USDJPY</v>
      </c>
      <c r="P9" s="22">
        <f t="shared" si="4"/>
        <v>107.756</v>
      </c>
      <c r="Q9" s="21" t="str">
        <f t="shared" si="12"/>
        <v>ASK</v>
      </c>
      <c r="R9" s="20">
        <f t="shared" si="5"/>
        <v>9.2802256950889053</v>
      </c>
    </row>
    <row r="10" spans="1:18" ht="16.5" customHeight="1" x14ac:dyDescent="0.3">
      <c r="A10" s="80" t="s">
        <v>11</v>
      </c>
      <c r="B10" s="81" t="str">
        <f t="shared" si="6"/>
        <v>EUR</v>
      </c>
      <c r="C10" s="82" t="str">
        <f t="shared" si="7"/>
        <v>AUD</v>
      </c>
      <c r="D10" s="83">
        <v>100000</v>
      </c>
      <c r="E10" s="84">
        <f t="shared" si="8"/>
        <v>1E-4</v>
      </c>
      <c r="F10" s="83" t="b">
        <f t="shared" si="9"/>
        <v>0</v>
      </c>
      <c r="G10" s="85" t="b">
        <f t="shared" si="0"/>
        <v>0</v>
      </c>
      <c r="H10" s="85" t="str">
        <f t="shared" si="10"/>
        <v>FALSE</v>
      </c>
      <c r="I10" s="85" t="str">
        <f t="shared" si="10"/>
        <v>FALSE</v>
      </c>
      <c r="J10" s="86">
        <f>VLOOKUP(A10,'Data Feed'!$A$3:$D$30,3,FALSE)</f>
        <v>1.62944</v>
      </c>
      <c r="K10" s="87">
        <f>VLOOKUP(A10,'Data Feed'!$A$3:$D$30,4,FALSE)</f>
        <v>1.6294900000000001</v>
      </c>
      <c r="L10" s="100">
        <f>IF(I10="TRUE",D10*E10,(IF(H10="TRUE",(D10*E10)/K10,(IF(G10=FALSE,R10,"")))))</f>
        <v>6.8543000000000003</v>
      </c>
      <c r="M10" s="20" t="str">
        <f t="shared" si="1"/>
        <v/>
      </c>
      <c r="N10" s="20" t="str">
        <f t="shared" si="2"/>
        <v/>
      </c>
      <c r="O10" s="21" t="str">
        <f t="shared" si="3"/>
        <v>AUDUSD</v>
      </c>
      <c r="P10" s="22">
        <f t="shared" si="4"/>
        <v>0.68542999999999998</v>
      </c>
      <c r="Q10" s="21" t="str">
        <f t="shared" si="12"/>
        <v>BID</v>
      </c>
      <c r="R10" s="20">
        <f t="shared" si="5"/>
        <v>6.8543000000000003</v>
      </c>
    </row>
    <row r="11" spans="1:18" ht="16.5" customHeight="1" x14ac:dyDescent="0.3">
      <c r="A11" s="80" t="s">
        <v>15</v>
      </c>
      <c r="B11" s="81" t="str">
        <f t="shared" si="6"/>
        <v>EUR</v>
      </c>
      <c r="C11" s="82" t="str">
        <f t="shared" si="7"/>
        <v>CAD</v>
      </c>
      <c r="D11" s="83">
        <v>100000</v>
      </c>
      <c r="E11" s="84">
        <f t="shared" si="8"/>
        <v>1E-4</v>
      </c>
      <c r="F11" s="83" t="b">
        <f t="shared" si="9"/>
        <v>0</v>
      </c>
      <c r="G11" s="85" t="b">
        <f t="shared" si="0"/>
        <v>0</v>
      </c>
      <c r="H11" s="85" t="str">
        <f t="shared" si="10"/>
        <v>FALSE</v>
      </c>
      <c r="I11" s="85" t="str">
        <f t="shared" si="10"/>
        <v>FALSE</v>
      </c>
      <c r="J11" s="86">
        <f>VLOOKUP(A11,'Data Feed'!$A$3:$D$30,3,FALSE)</f>
        <v>1.50963</v>
      </c>
      <c r="K11" s="87">
        <f>VLOOKUP(A11,'Data Feed'!$A$3:$D$30,4,FALSE)</f>
        <v>1.5097100000000001</v>
      </c>
      <c r="L11" s="100">
        <f t="shared" si="11"/>
        <v>7.3982007575757578</v>
      </c>
      <c r="M11" s="20" t="str">
        <f t="shared" si="1"/>
        <v/>
      </c>
      <c r="N11" s="20" t="str">
        <f t="shared" si="2"/>
        <v/>
      </c>
      <c r="O11" s="21" t="str">
        <f t="shared" si="3"/>
        <v>USDCAD</v>
      </c>
      <c r="P11" s="22">
        <f t="shared" si="4"/>
        <v>1.35168</v>
      </c>
      <c r="Q11" s="21" t="str">
        <f t="shared" si="12"/>
        <v>ASK</v>
      </c>
      <c r="R11" s="20">
        <f t="shared" si="5"/>
        <v>7.3982007575757578</v>
      </c>
    </row>
    <row r="12" spans="1:18" ht="16.5" customHeight="1" x14ac:dyDescent="0.3">
      <c r="A12" s="80" t="s">
        <v>30</v>
      </c>
      <c r="B12" s="81" t="str">
        <f t="shared" si="6"/>
        <v>EUR</v>
      </c>
      <c r="C12" s="82" t="str">
        <f t="shared" si="7"/>
        <v>CHF</v>
      </c>
      <c r="D12" s="83">
        <v>100000</v>
      </c>
      <c r="E12" s="84">
        <f t="shared" si="8"/>
        <v>1E-4</v>
      </c>
      <c r="F12" s="83" t="b">
        <f t="shared" si="9"/>
        <v>0</v>
      </c>
      <c r="G12" s="85" t="b">
        <f t="shared" si="0"/>
        <v>0</v>
      </c>
      <c r="H12" s="85" t="str">
        <f t="shared" si="10"/>
        <v>FALSE</v>
      </c>
      <c r="I12" s="85" t="str">
        <f t="shared" si="10"/>
        <v>FALSE</v>
      </c>
      <c r="J12" s="86">
        <f>VLOOKUP(A12,'Data Feed'!$A$3:$D$30,3,FALSE)</f>
        <v>1.0741099999999999</v>
      </c>
      <c r="K12" s="87">
        <f>VLOOKUP(A12,'Data Feed'!$A$3:$D$30,4,FALSE)</f>
        <v>1.0741400000000001</v>
      </c>
      <c r="L12" s="100">
        <f t="shared" si="11"/>
        <v>10.398144970937185</v>
      </c>
      <c r="M12" s="20" t="str">
        <f t="shared" si="1"/>
        <v/>
      </c>
      <c r="N12" s="20" t="str">
        <f t="shared" si="2"/>
        <v/>
      </c>
      <c r="O12" s="21" t="str">
        <f t="shared" si="3"/>
        <v>USDCHF</v>
      </c>
      <c r="P12" s="22">
        <f t="shared" si="4"/>
        <v>0.96170999999999995</v>
      </c>
      <c r="Q12" s="21" t="str">
        <f t="shared" si="12"/>
        <v>ASK</v>
      </c>
      <c r="R12" s="20">
        <f t="shared" si="5"/>
        <v>10.398144970937185</v>
      </c>
    </row>
    <row r="13" spans="1:18" ht="16.5" customHeight="1" x14ac:dyDescent="0.3">
      <c r="A13" s="80" t="s">
        <v>33</v>
      </c>
      <c r="B13" s="81" t="str">
        <f t="shared" si="6"/>
        <v>EUR</v>
      </c>
      <c r="C13" s="82" t="str">
        <f t="shared" si="7"/>
        <v>GBP</v>
      </c>
      <c r="D13" s="83">
        <v>100000</v>
      </c>
      <c r="E13" s="84">
        <f t="shared" si="8"/>
        <v>1E-4</v>
      </c>
      <c r="F13" s="83" t="b">
        <f t="shared" si="9"/>
        <v>0</v>
      </c>
      <c r="G13" s="85" t="b">
        <f t="shared" si="0"/>
        <v>0</v>
      </c>
      <c r="H13" s="85" t="str">
        <f t="shared" si="10"/>
        <v>FALSE</v>
      </c>
      <c r="I13" s="85" t="str">
        <f t="shared" si="10"/>
        <v>FALSE</v>
      </c>
      <c r="J13" s="86">
        <f>VLOOKUP(A13,'Data Feed'!$A$3:$D$30,3,FALSE)</f>
        <v>0.88883999999999996</v>
      </c>
      <c r="K13" s="87">
        <f>VLOOKUP(A13,'Data Feed'!$A$3:$D$30,4,FALSE)</f>
        <v>0.88885999999999998</v>
      </c>
      <c r="L13" s="100">
        <f t="shared" si="11"/>
        <v>12.5656</v>
      </c>
      <c r="M13" s="20" t="str">
        <f t="shared" si="1"/>
        <v/>
      </c>
      <c r="N13" s="20" t="str">
        <f t="shared" si="2"/>
        <v/>
      </c>
      <c r="O13" s="21" t="str">
        <f t="shared" si="3"/>
        <v>GBPUSD</v>
      </c>
      <c r="P13" s="22">
        <f t="shared" si="4"/>
        <v>1.2565599999999999</v>
      </c>
      <c r="Q13" s="21" t="str">
        <f t="shared" si="12"/>
        <v>BID</v>
      </c>
      <c r="R13" s="20">
        <f t="shared" si="5"/>
        <v>12.5656</v>
      </c>
    </row>
    <row r="14" spans="1:18" ht="16.5" customHeight="1" x14ac:dyDescent="0.3">
      <c r="A14" s="80" t="s">
        <v>20</v>
      </c>
      <c r="B14" s="81" t="str">
        <f t="shared" si="6"/>
        <v>EUR</v>
      </c>
      <c r="C14" s="82" t="str">
        <f t="shared" si="7"/>
        <v>JPY</v>
      </c>
      <c r="D14" s="83">
        <v>100000</v>
      </c>
      <c r="E14" s="84">
        <f t="shared" si="8"/>
        <v>0.01</v>
      </c>
      <c r="F14" s="83" t="b">
        <f t="shared" si="9"/>
        <v>1</v>
      </c>
      <c r="G14" s="85" t="b">
        <f t="shared" si="0"/>
        <v>0</v>
      </c>
      <c r="H14" s="85" t="str">
        <f t="shared" si="10"/>
        <v>FALSE</v>
      </c>
      <c r="I14" s="85" t="str">
        <f t="shared" si="10"/>
        <v>FALSE</v>
      </c>
      <c r="J14" s="86">
        <f>VLOOKUP(A14,'Data Feed'!$A$3:$D$30,3,FALSE)</f>
        <v>120.34699999999999</v>
      </c>
      <c r="K14" s="87">
        <f>VLOOKUP(A14,'Data Feed'!$A$3:$D$30,4,FALSE)</f>
        <v>120.348</v>
      </c>
      <c r="L14" s="100">
        <f t="shared" si="11"/>
        <v>9.2802256950889053</v>
      </c>
      <c r="M14" s="20" t="str">
        <f t="shared" si="1"/>
        <v/>
      </c>
      <c r="N14" s="20" t="str">
        <f t="shared" si="2"/>
        <v/>
      </c>
      <c r="O14" s="21" t="str">
        <f t="shared" si="3"/>
        <v>USDJPY</v>
      </c>
      <c r="P14" s="22">
        <f t="shared" si="4"/>
        <v>107.756</v>
      </c>
      <c r="Q14" s="21" t="str">
        <f t="shared" si="12"/>
        <v>ASK</v>
      </c>
      <c r="R14" s="20">
        <f t="shared" si="5"/>
        <v>9.2802256950889053</v>
      </c>
    </row>
    <row r="15" spans="1:18" ht="16.5" customHeight="1" x14ac:dyDescent="0.3">
      <c r="A15" s="80" t="s">
        <v>8</v>
      </c>
      <c r="B15" s="81" t="str">
        <f t="shared" si="6"/>
        <v>EUR</v>
      </c>
      <c r="C15" s="82" t="str">
        <f t="shared" si="7"/>
        <v>NZD</v>
      </c>
      <c r="D15" s="83">
        <v>100000</v>
      </c>
      <c r="E15" s="84">
        <f t="shared" si="8"/>
        <v>1E-4</v>
      </c>
      <c r="F15" s="83" t="b">
        <f t="shared" si="9"/>
        <v>0</v>
      </c>
      <c r="G15" s="85" t="b">
        <f t="shared" si="0"/>
        <v>0</v>
      </c>
      <c r="H15" s="85" t="str">
        <f t="shared" si="10"/>
        <v>FALSE</v>
      </c>
      <c r="I15" s="85" t="str">
        <f t="shared" si="10"/>
        <v>FALSE</v>
      </c>
      <c r="J15" s="86">
        <f>VLOOKUP(A15,'Data Feed'!$A$3:$D$30,3,FALSE)</f>
        <v>1.76874</v>
      </c>
      <c r="K15" s="87">
        <f>VLOOKUP(A15,'Data Feed'!$A$3:$D$30,4,FALSE)</f>
        <v>1.7687999999999999</v>
      </c>
      <c r="L15" s="100">
        <f t="shared" si="11"/>
        <v>6.3143000000000002</v>
      </c>
      <c r="M15" s="20" t="str">
        <f t="shared" si="1"/>
        <v/>
      </c>
      <c r="N15" s="20" t="str">
        <f t="shared" si="2"/>
        <v/>
      </c>
      <c r="O15" s="21" t="str">
        <f t="shared" si="3"/>
        <v>NZDUSD</v>
      </c>
      <c r="P15" s="22">
        <f t="shared" si="4"/>
        <v>0.63143000000000005</v>
      </c>
      <c r="Q15" s="21" t="str">
        <f t="shared" si="12"/>
        <v>BID</v>
      </c>
      <c r="R15" s="20">
        <f t="shared" si="5"/>
        <v>6.3143000000000002</v>
      </c>
    </row>
    <row r="16" spans="1:18" ht="16.5" customHeight="1" x14ac:dyDescent="0.3">
      <c r="A16" s="80" t="s">
        <v>6</v>
      </c>
      <c r="B16" s="81" t="str">
        <f t="shared" si="6"/>
        <v>EUR</v>
      </c>
      <c r="C16" s="82" t="str">
        <f t="shared" si="7"/>
        <v>USD</v>
      </c>
      <c r="D16" s="83">
        <v>100000</v>
      </c>
      <c r="E16" s="84">
        <f t="shared" si="8"/>
        <v>1E-4</v>
      </c>
      <c r="F16" s="83" t="b">
        <f t="shared" si="9"/>
        <v>0</v>
      </c>
      <c r="G16" s="85" t="b">
        <f t="shared" si="0"/>
        <v>1</v>
      </c>
      <c r="H16" s="85" t="str">
        <f t="shared" si="10"/>
        <v>FALSE</v>
      </c>
      <c r="I16" s="85" t="str">
        <f t="shared" si="10"/>
        <v>TRUE</v>
      </c>
      <c r="J16" s="86">
        <f>VLOOKUP(A16,'Data Feed'!$A$3:$D$30,3,FALSE)</f>
        <v>1.11686</v>
      </c>
      <c r="K16" s="87">
        <f>VLOOKUP(A16,'Data Feed'!$A$3:$D$30,4,FALSE)</f>
        <v>1.11686</v>
      </c>
      <c r="L16" s="100">
        <f t="shared" si="11"/>
        <v>10</v>
      </c>
      <c r="M16" s="20">
        <f t="shared" si="1"/>
        <v>10</v>
      </c>
      <c r="N16" s="20" t="str">
        <f t="shared" si="2"/>
        <v/>
      </c>
      <c r="O16" s="21" t="str">
        <f t="shared" si="3"/>
        <v/>
      </c>
      <c r="P16" s="22" t="str">
        <f t="shared" si="4"/>
        <v/>
      </c>
      <c r="Q16" s="21" t="str">
        <f t="shared" si="12"/>
        <v/>
      </c>
      <c r="R16" s="20" t="str">
        <f t="shared" si="5"/>
        <v/>
      </c>
    </row>
    <row r="17" spans="1:18" ht="16.5" customHeight="1" x14ac:dyDescent="0.3">
      <c r="A17" s="80" t="s">
        <v>10</v>
      </c>
      <c r="B17" s="81" t="str">
        <f t="shared" si="6"/>
        <v>GBP</v>
      </c>
      <c r="C17" s="82" t="str">
        <f t="shared" si="7"/>
        <v>AUD</v>
      </c>
      <c r="D17" s="83">
        <v>100000</v>
      </c>
      <c r="E17" s="84">
        <f t="shared" si="8"/>
        <v>1E-4</v>
      </c>
      <c r="F17" s="83" t="b">
        <f t="shared" si="9"/>
        <v>0</v>
      </c>
      <c r="G17" s="85" t="b">
        <f t="shared" si="0"/>
        <v>0</v>
      </c>
      <c r="H17" s="85" t="str">
        <f t="shared" si="10"/>
        <v>FALSE</v>
      </c>
      <c r="I17" s="85" t="str">
        <f t="shared" si="10"/>
        <v>FALSE</v>
      </c>
      <c r="J17" s="86">
        <f>VLOOKUP(A17,'Data Feed'!$A$3:$D$30,3,FALSE)</f>
        <v>1.8332299999999999</v>
      </c>
      <c r="K17" s="87">
        <f>VLOOKUP(A17,'Data Feed'!$A$3:$D$30,4,FALSE)</f>
        <v>1.8333299999999999</v>
      </c>
      <c r="L17" s="100">
        <f t="shared" si="11"/>
        <v>6.8543000000000003</v>
      </c>
      <c r="M17" s="20" t="str">
        <f t="shared" si="1"/>
        <v/>
      </c>
      <c r="N17" s="20" t="str">
        <f t="shared" si="2"/>
        <v/>
      </c>
      <c r="O17" s="21" t="str">
        <f t="shared" si="3"/>
        <v>AUDUSD</v>
      </c>
      <c r="P17" s="22">
        <f t="shared" si="4"/>
        <v>0.68542999999999998</v>
      </c>
      <c r="Q17" s="21" t="str">
        <f t="shared" si="12"/>
        <v>BID</v>
      </c>
      <c r="R17" s="20">
        <f t="shared" si="5"/>
        <v>6.8543000000000003</v>
      </c>
    </row>
    <row r="18" spans="1:18" ht="16.5" customHeight="1" x14ac:dyDescent="0.3">
      <c r="A18" s="80" t="s">
        <v>14</v>
      </c>
      <c r="B18" s="81" t="str">
        <f t="shared" si="6"/>
        <v>GBP</v>
      </c>
      <c r="C18" s="82" t="str">
        <f t="shared" si="7"/>
        <v>CAD</v>
      </c>
      <c r="D18" s="83">
        <v>100000</v>
      </c>
      <c r="E18" s="84">
        <f t="shared" si="8"/>
        <v>1E-4</v>
      </c>
      <c r="F18" s="83" t="b">
        <f t="shared" si="9"/>
        <v>0</v>
      </c>
      <c r="G18" s="85" t="b">
        <f t="shared" si="0"/>
        <v>0</v>
      </c>
      <c r="H18" s="85" t="str">
        <f t="shared" si="10"/>
        <v>FALSE</v>
      </c>
      <c r="I18" s="85" t="str">
        <f t="shared" si="10"/>
        <v>FALSE</v>
      </c>
      <c r="J18" s="86">
        <f>VLOOKUP(A18,'Data Feed'!$A$3:$D$30,3,FALSE)</f>
        <v>1.69845</v>
      </c>
      <c r="K18" s="87">
        <f>VLOOKUP(A18,'Data Feed'!$A$3:$D$30,4,FALSE)</f>
        <v>1.69852</v>
      </c>
      <c r="L18" s="100">
        <f t="shared" si="11"/>
        <v>7.3982007575757578</v>
      </c>
      <c r="M18" s="20" t="str">
        <f t="shared" si="1"/>
        <v/>
      </c>
      <c r="N18" s="20" t="str">
        <f t="shared" si="2"/>
        <v/>
      </c>
      <c r="O18" s="21" t="str">
        <f t="shared" si="3"/>
        <v>USDCAD</v>
      </c>
      <c r="P18" s="22">
        <f t="shared" si="4"/>
        <v>1.35168</v>
      </c>
      <c r="Q18" s="21" t="str">
        <f t="shared" si="12"/>
        <v>ASK</v>
      </c>
      <c r="R18" s="20">
        <f t="shared" si="5"/>
        <v>7.3982007575757578</v>
      </c>
    </row>
    <row r="19" spans="1:18" ht="16.5" customHeight="1" x14ac:dyDescent="0.3">
      <c r="A19" s="80" t="s">
        <v>29</v>
      </c>
      <c r="B19" s="81" t="str">
        <f t="shared" si="6"/>
        <v>GBP</v>
      </c>
      <c r="C19" s="82" t="str">
        <f t="shared" si="7"/>
        <v>CHF</v>
      </c>
      <c r="D19" s="83">
        <v>100000</v>
      </c>
      <c r="E19" s="84">
        <f t="shared" si="8"/>
        <v>1E-4</v>
      </c>
      <c r="F19" s="83" t="b">
        <f t="shared" si="9"/>
        <v>0</v>
      </c>
      <c r="G19" s="85" t="b">
        <f t="shared" si="0"/>
        <v>0</v>
      </c>
      <c r="H19" s="85" t="str">
        <f t="shared" si="10"/>
        <v>FALSE</v>
      </c>
      <c r="I19" s="85" t="str">
        <f t="shared" si="10"/>
        <v>FALSE</v>
      </c>
      <c r="J19" s="86">
        <f>VLOOKUP(A19,'Data Feed'!$A$3:$D$30,3,FALSE)</f>
        <v>1.20844</v>
      </c>
      <c r="K19" s="87">
        <f>VLOOKUP(A19,'Data Feed'!$A$3:$D$30,4,FALSE)</f>
        <v>1.20852</v>
      </c>
      <c r="L19" s="100">
        <f t="shared" si="11"/>
        <v>10.398144970937185</v>
      </c>
      <c r="M19" s="20" t="str">
        <f t="shared" si="1"/>
        <v/>
      </c>
      <c r="N19" s="20" t="str">
        <f t="shared" si="2"/>
        <v/>
      </c>
      <c r="O19" s="21" t="str">
        <f t="shared" si="3"/>
        <v>USDCHF</v>
      </c>
      <c r="P19" s="22">
        <f t="shared" si="4"/>
        <v>0.96170999999999995</v>
      </c>
      <c r="Q19" s="21" t="str">
        <f t="shared" si="12"/>
        <v>ASK</v>
      </c>
      <c r="R19" s="20">
        <f t="shared" si="5"/>
        <v>10.398144970937185</v>
      </c>
    </row>
    <row r="20" spans="1:18" ht="16.5" customHeight="1" x14ac:dyDescent="0.3">
      <c r="A20" s="80" t="s">
        <v>19</v>
      </c>
      <c r="B20" s="81" t="str">
        <f t="shared" si="6"/>
        <v>GBP</v>
      </c>
      <c r="C20" s="82" t="str">
        <f t="shared" si="7"/>
        <v>JPY</v>
      </c>
      <c r="D20" s="83">
        <v>100000</v>
      </c>
      <c r="E20" s="84">
        <f t="shared" si="8"/>
        <v>0.01</v>
      </c>
      <c r="F20" s="83" t="b">
        <f t="shared" si="9"/>
        <v>1</v>
      </c>
      <c r="G20" s="85" t="b">
        <f t="shared" si="0"/>
        <v>0</v>
      </c>
      <c r="H20" s="85" t="str">
        <f t="shared" si="10"/>
        <v>FALSE</v>
      </c>
      <c r="I20" s="85" t="str">
        <f t="shared" si="10"/>
        <v>FALSE</v>
      </c>
      <c r="J20" s="86">
        <f>VLOOKUP(A20,'Data Feed'!$A$3:$D$30,3,FALSE)</f>
        <v>135.4</v>
      </c>
      <c r="K20" s="87">
        <f>VLOOKUP(A20,'Data Feed'!$A$3:$D$30,4,FALSE)</f>
        <v>135.40199999999999</v>
      </c>
      <c r="L20" s="100">
        <f t="shared" si="11"/>
        <v>9.2802256950889053</v>
      </c>
      <c r="M20" s="20" t="str">
        <f t="shared" si="1"/>
        <v/>
      </c>
      <c r="N20" s="20" t="str">
        <f t="shared" si="2"/>
        <v/>
      </c>
      <c r="O20" s="21" t="str">
        <f t="shared" si="3"/>
        <v>USDJPY</v>
      </c>
      <c r="P20" s="22">
        <f t="shared" si="4"/>
        <v>107.756</v>
      </c>
      <c r="Q20" s="21" t="str">
        <f t="shared" si="12"/>
        <v>ASK</v>
      </c>
      <c r="R20" s="20">
        <f t="shared" si="5"/>
        <v>9.2802256950889053</v>
      </c>
    </row>
    <row r="21" spans="1:18" ht="16.5" customHeight="1" x14ac:dyDescent="0.3">
      <c r="A21" s="80" t="s">
        <v>7</v>
      </c>
      <c r="B21" s="81" t="str">
        <f t="shared" si="6"/>
        <v>GBP</v>
      </c>
      <c r="C21" s="82" t="str">
        <f t="shared" si="7"/>
        <v>NZD</v>
      </c>
      <c r="D21" s="83">
        <v>100000</v>
      </c>
      <c r="E21" s="84">
        <f t="shared" si="8"/>
        <v>1E-4</v>
      </c>
      <c r="F21" s="83" t="b">
        <f t="shared" si="9"/>
        <v>0</v>
      </c>
      <c r="G21" s="85" t="b">
        <f t="shared" si="0"/>
        <v>0</v>
      </c>
      <c r="H21" s="85" t="str">
        <f t="shared" si="10"/>
        <v>FALSE</v>
      </c>
      <c r="I21" s="85" t="str">
        <f t="shared" si="10"/>
        <v>FALSE</v>
      </c>
      <c r="J21" s="86">
        <f>VLOOKUP(A21,'Data Feed'!$A$3:$D$30,3,FALSE)</f>
        <v>1.9899100000000001</v>
      </c>
      <c r="K21" s="87">
        <f>VLOOKUP(A21,'Data Feed'!$A$3:$D$30,4,FALSE)</f>
        <v>1.9901</v>
      </c>
      <c r="L21" s="100">
        <f t="shared" si="11"/>
        <v>6.3143000000000002</v>
      </c>
      <c r="M21" s="20" t="str">
        <f t="shared" si="1"/>
        <v/>
      </c>
      <c r="N21" s="20" t="str">
        <f t="shared" si="2"/>
        <v/>
      </c>
      <c r="O21" s="21" t="str">
        <f t="shared" si="3"/>
        <v>NZDUSD</v>
      </c>
      <c r="P21" s="22">
        <f t="shared" si="4"/>
        <v>0.63143000000000005</v>
      </c>
      <c r="Q21" s="21" t="str">
        <f t="shared" si="12"/>
        <v>BID</v>
      </c>
      <c r="R21" s="20">
        <f t="shared" si="5"/>
        <v>6.3143000000000002</v>
      </c>
    </row>
    <row r="22" spans="1:18" ht="16.5" customHeight="1" x14ac:dyDescent="0.3">
      <c r="A22" s="80" t="s">
        <v>25</v>
      </c>
      <c r="B22" s="81" t="str">
        <f t="shared" si="6"/>
        <v>GBP</v>
      </c>
      <c r="C22" s="82" t="str">
        <f t="shared" si="7"/>
        <v>USD</v>
      </c>
      <c r="D22" s="83">
        <v>100000</v>
      </c>
      <c r="E22" s="84">
        <f t="shared" si="8"/>
        <v>1E-4</v>
      </c>
      <c r="F22" s="83" t="b">
        <f t="shared" si="9"/>
        <v>0</v>
      </c>
      <c r="G22" s="85" t="b">
        <f t="shared" si="0"/>
        <v>1</v>
      </c>
      <c r="H22" s="85" t="str">
        <f t="shared" si="10"/>
        <v>FALSE</v>
      </c>
      <c r="I22" s="85" t="str">
        <f t="shared" si="10"/>
        <v>TRUE</v>
      </c>
      <c r="J22" s="86">
        <f>VLOOKUP(A22,'Data Feed'!$A$3:$D$30,3,FALSE)</f>
        <v>1.2565599999999999</v>
      </c>
      <c r="K22" s="87">
        <f>VLOOKUP(A22,'Data Feed'!$A$3:$D$30,4,FALSE)</f>
        <v>1.2565599999999999</v>
      </c>
      <c r="L22" s="100">
        <f t="shared" si="11"/>
        <v>10</v>
      </c>
      <c r="M22" s="20">
        <f t="shared" si="1"/>
        <v>10</v>
      </c>
      <c r="N22" s="20" t="str">
        <f t="shared" si="2"/>
        <v/>
      </c>
      <c r="O22" s="21" t="str">
        <f t="shared" si="3"/>
        <v/>
      </c>
      <c r="P22" s="22" t="str">
        <f t="shared" si="4"/>
        <v/>
      </c>
      <c r="Q22" s="21" t="str">
        <f t="shared" si="12"/>
        <v/>
      </c>
      <c r="R22" s="20" t="str">
        <f t="shared" si="5"/>
        <v/>
      </c>
    </row>
    <row r="23" spans="1:18" ht="16.5" customHeight="1" x14ac:dyDescent="0.3">
      <c r="A23" s="80" t="s">
        <v>13</v>
      </c>
      <c r="B23" s="81" t="str">
        <f t="shared" si="6"/>
        <v>NZD</v>
      </c>
      <c r="C23" s="82" t="str">
        <f t="shared" si="7"/>
        <v>CAD</v>
      </c>
      <c r="D23" s="83">
        <v>100000</v>
      </c>
      <c r="E23" s="84">
        <f t="shared" si="8"/>
        <v>1E-4</v>
      </c>
      <c r="F23" s="83" t="b">
        <f t="shared" si="9"/>
        <v>0</v>
      </c>
      <c r="G23" s="85" t="b">
        <f t="shared" si="0"/>
        <v>0</v>
      </c>
      <c r="H23" s="85" t="str">
        <f t="shared" si="10"/>
        <v>FALSE</v>
      </c>
      <c r="I23" s="85" t="str">
        <f t="shared" si="10"/>
        <v>FALSE</v>
      </c>
      <c r="J23" s="86">
        <f>VLOOKUP(A23,'Data Feed'!$A$3:$D$30,3,FALSE)</f>
        <v>0.85346</v>
      </c>
      <c r="K23" s="87">
        <f>VLOOKUP(A23,'Data Feed'!$A$3:$D$30,4,FALSE)</f>
        <v>0.85353999999999997</v>
      </c>
      <c r="L23" s="100">
        <f t="shared" si="11"/>
        <v>7.3982007575757578</v>
      </c>
      <c r="M23" s="20" t="str">
        <f t="shared" si="1"/>
        <v/>
      </c>
      <c r="N23" s="20" t="str">
        <f t="shared" si="2"/>
        <v/>
      </c>
      <c r="O23" s="21" t="str">
        <f t="shared" si="3"/>
        <v>USDCAD</v>
      </c>
      <c r="P23" s="22">
        <f t="shared" si="4"/>
        <v>1.35168</v>
      </c>
      <c r="Q23" s="21" t="str">
        <f t="shared" si="12"/>
        <v>ASK</v>
      </c>
      <c r="R23" s="20">
        <f t="shared" si="5"/>
        <v>7.3982007575757578</v>
      </c>
    </row>
    <row r="24" spans="1:18" ht="16.5" customHeight="1" x14ac:dyDescent="0.3">
      <c r="A24" s="80" t="s">
        <v>28</v>
      </c>
      <c r="B24" s="81" t="str">
        <f t="shared" si="6"/>
        <v>NZD</v>
      </c>
      <c r="C24" s="82" t="str">
        <f t="shared" si="7"/>
        <v>CHF</v>
      </c>
      <c r="D24" s="83">
        <v>100000</v>
      </c>
      <c r="E24" s="84">
        <f t="shared" si="8"/>
        <v>1E-4</v>
      </c>
      <c r="F24" s="83" t="b">
        <f t="shared" si="9"/>
        <v>0</v>
      </c>
      <c r="G24" s="85" t="b">
        <f t="shared" si="0"/>
        <v>0</v>
      </c>
      <c r="H24" s="85" t="str">
        <f t="shared" si="10"/>
        <v>FALSE</v>
      </c>
      <c r="I24" s="85" t="str">
        <f t="shared" si="10"/>
        <v>FALSE</v>
      </c>
      <c r="J24" s="86">
        <f>VLOOKUP(A24,'Data Feed'!$A$3:$D$30,3,FALSE)</f>
        <v>0.60726999999999998</v>
      </c>
      <c r="K24" s="87">
        <f>VLOOKUP(A24,'Data Feed'!$A$3:$D$30,4,FALSE)</f>
        <v>0.60729</v>
      </c>
      <c r="L24" s="100">
        <f t="shared" si="11"/>
        <v>10.398144970937185</v>
      </c>
      <c r="M24" s="20" t="str">
        <f t="shared" si="1"/>
        <v/>
      </c>
      <c r="N24" s="20" t="str">
        <f t="shared" si="2"/>
        <v/>
      </c>
      <c r="O24" s="21" t="str">
        <f t="shared" si="3"/>
        <v>USDCHF</v>
      </c>
      <c r="P24" s="22">
        <f t="shared" si="4"/>
        <v>0.96170999999999995</v>
      </c>
      <c r="Q24" s="21" t="str">
        <f t="shared" si="12"/>
        <v>ASK</v>
      </c>
      <c r="R24" s="20">
        <f t="shared" si="5"/>
        <v>10.398144970937185</v>
      </c>
    </row>
    <row r="25" spans="1:18" ht="16.5" customHeight="1" x14ac:dyDescent="0.3">
      <c r="A25" s="80" t="s">
        <v>18</v>
      </c>
      <c r="B25" s="81" t="str">
        <f t="shared" si="6"/>
        <v>NZD</v>
      </c>
      <c r="C25" s="82" t="str">
        <f t="shared" si="7"/>
        <v>JPY</v>
      </c>
      <c r="D25" s="83">
        <v>100000</v>
      </c>
      <c r="E25" s="84">
        <f t="shared" si="8"/>
        <v>0.01</v>
      </c>
      <c r="F25" s="83" t="b">
        <f t="shared" si="9"/>
        <v>1</v>
      </c>
      <c r="G25" s="85" t="b">
        <f t="shared" si="0"/>
        <v>0</v>
      </c>
      <c r="H25" s="85" t="str">
        <f t="shared" si="10"/>
        <v>FALSE</v>
      </c>
      <c r="I25" s="85" t="str">
        <f t="shared" si="10"/>
        <v>FALSE</v>
      </c>
      <c r="J25" s="86">
        <f>VLOOKUP(A25,'Data Feed'!$A$3:$D$30,3,FALSE)</f>
        <v>68.039000000000001</v>
      </c>
      <c r="K25" s="87">
        <f>VLOOKUP(A25,'Data Feed'!$A$3:$D$30,4,FALSE)</f>
        <v>68.043000000000006</v>
      </c>
      <c r="L25" s="100">
        <f t="shared" si="11"/>
        <v>9.2802256950889053</v>
      </c>
      <c r="M25" s="20" t="str">
        <f t="shared" si="1"/>
        <v/>
      </c>
      <c r="N25" s="20" t="str">
        <f t="shared" si="2"/>
        <v/>
      </c>
      <c r="O25" s="21" t="str">
        <f t="shared" si="3"/>
        <v>USDJPY</v>
      </c>
      <c r="P25" s="22">
        <f t="shared" si="4"/>
        <v>107.756</v>
      </c>
      <c r="Q25" s="21" t="str">
        <f t="shared" si="12"/>
        <v>ASK</v>
      </c>
      <c r="R25" s="20">
        <f t="shared" si="5"/>
        <v>9.2802256950889053</v>
      </c>
    </row>
    <row r="26" spans="1:18" ht="16.5" customHeight="1" x14ac:dyDescent="0.3">
      <c r="A26" s="80" t="s">
        <v>24</v>
      </c>
      <c r="B26" s="81" t="str">
        <f t="shared" si="6"/>
        <v>NZD</v>
      </c>
      <c r="C26" s="82" t="str">
        <f t="shared" si="7"/>
        <v>USD</v>
      </c>
      <c r="D26" s="83">
        <v>100000</v>
      </c>
      <c r="E26" s="84">
        <f t="shared" si="8"/>
        <v>1E-4</v>
      </c>
      <c r="F26" s="83" t="b">
        <f t="shared" si="9"/>
        <v>0</v>
      </c>
      <c r="G26" s="85" t="b">
        <f t="shared" si="0"/>
        <v>1</v>
      </c>
      <c r="H26" s="85" t="str">
        <f t="shared" si="10"/>
        <v>FALSE</v>
      </c>
      <c r="I26" s="85" t="str">
        <f t="shared" si="10"/>
        <v>TRUE</v>
      </c>
      <c r="J26" s="86">
        <f>VLOOKUP(A26,'Data Feed'!$A$3:$D$30,3,FALSE)</f>
        <v>0.63141999999999998</v>
      </c>
      <c r="K26" s="87">
        <f>VLOOKUP(A26,'Data Feed'!$A$3:$D$30,4,FALSE)</f>
        <v>0.63143000000000005</v>
      </c>
      <c r="L26" s="100">
        <f t="shared" si="11"/>
        <v>10</v>
      </c>
      <c r="M26" s="20">
        <f t="shared" si="1"/>
        <v>10</v>
      </c>
      <c r="N26" s="20" t="str">
        <f t="shared" si="2"/>
        <v/>
      </c>
      <c r="O26" s="21" t="str">
        <f t="shared" si="3"/>
        <v/>
      </c>
      <c r="P26" s="22" t="str">
        <f t="shared" si="4"/>
        <v/>
      </c>
      <c r="Q26" s="21" t="str">
        <f t="shared" si="12"/>
        <v/>
      </c>
      <c r="R26" s="20" t="str">
        <f t="shared" si="5"/>
        <v/>
      </c>
    </row>
    <row r="27" spans="1:18" ht="16.5" customHeight="1" x14ac:dyDescent="0.3">
      <c r="A27" s="80" t="s">
        <v>12</v>
      </c>
      <c r="B27" s="81" t="str">
        <f t="shared" si="6"/>
        <v>USD</v>
      </c>
      <c r="C27" s="82" t="str">
        <f t="shared" si="7"/>
        <v>CAD</v>
      </c>
      <c r="D27" s="83">
        <v>100000</v>
      </c>
      <c r="E27" s="84">
        <f t="shared" si="8"/>
        <v>1E-4</v>
      </c>
      <c r="F27" s="83" t="b">
        <f t="shared" si="9"/>
        <v>0</v>
      </c>
      <c r="G27" s="85" t="b">
        <f t="shared" si="0"/>
        <v>1</v>
      </c>
      <c r="H27" s="85" t="str">
        <f t="shared" si="10"/>
        <v>TRUE</v>
      </c>
      <c r="I27" s="85" t="str">
        <f t="shared" si="10"/>
        <v>FALSE</v>
      </c>
      <c r="J27" s="86">
        <f>VLOOKUP(A27,'Data Feed'!$A$3:$D$30,3,FALSE)</f>
        <v>1.35168</v>
      </c>
      <c r="K27" s="87">
        <f>VLOOKUP(A27,'Data Feed'!$A$3:$D$30,4,FALSE)</f>
        <v>1.35172</v>
      </c>
      <c r="L27" s="100">
        <f t="shared" si="11"/>
        <v>7.3979818305566241</v>
      </c>
      <c r="M27" s="20" t="str">
        <f t="shared" si="1"/>
        <v/>
      </c>
      <c r="N27" s="20">
        <f t="shared" si="2"/>
        <v>7.3979818305566241</v>
      </c>
      <c r="O27" s="21" t="str">
        <f t="shared" si="3"/>
        <v/>
      </c>
      <c r="P27" s="22" t="str">
        <f t="shared" si="4"/>
        <v/>
      </c>
      <c r="Q27" s="21" t="str">
        <f t="shared" si="12"/>
        <v/>
      </c>
      <c r="R27" s="20" t="str">
        <f t="shared" si="5"/>
        <v/>
      </c>
    </row>
    <row r="28" spans="1:18" ht="16.5" customHeight="1" x14ac:dyDescent="0.3">
      <c r="A28" s="80" t="s">
        <v>27</v>
      </c>
      <c r="B28" s="81" t="str">
        <f t="shared" si="6"/>
        <v>USD</v>
      </c>
      <c r="C28" s="82" t="str">
        <f t="shared" si="7"/>
        <v>CHF</v>
      </c>
      <c r="D28" s="83">
        <v>100000</v>
      </c>
      <c r="E28" s="84">
        <f t="shared" si="8"/>
        <v>1E-4</v>
      </c>
      <c r="F28" s="83" t="b">
        <f t="shared" si="9"/>
        <v>0</v>
      </c>
      <c r="G28" s="85" t="b">
        <f t="shared" si="0"/>
        <v>1</v>
      </c>
      <c r="H28" s="85" t="str">
        <f t="shared" si="10"/>
        <v>TRUE</v>
      </c>
      <c r="I28" s="85" t="str">
        <f t="shared" si="10"/>
        <v>FALSE</v>
      </c>
      <c r="J28" s="86">
        <f>VLOOKUP(A28,'Data Feed'!$A$3:$D$30,3,FALSE)</f>
        <v>0.96170999999999995</v>
      </c>
      <c r="K28" s="87">
        <f>VLOOKUP(A28,'Data Feed'!$A$3:$D$30,4,FALSE)</f>
        <v>0.96172999999999997</v>
      </c>
      <c r="L28" s="100">
        <f t="shared" si="11"/>
        <v>10.397928732596467</v>
      </c>
      <c r="M28" s="20" t="str">
        <f t="shared" si="1"/>
        <v/>
      </c>
      <c r="N28" s="20">
        <f t="shared" si="2"/>
        <v>10.397928732596467</v>
      </c>
      <c r="O28" s="21" t="str">
        <f t="shared" si="3"/>
        <v/>
      </c>
      <c r="P28" s="22" t="str">
        <f t="shared" si="4"/>
        <v/>
      </c>
      <c r="Q28" s="21" t="str">
        <f t="shared" si="12"/>
        <v/>
      </c>
      <c r="R28" s="20" t="str">
        <f t="shared" si="5"/>
        <v/>
      </c>
    </row>
    <row r="29" spans="1:18" ht="16.5" customHeight="1" x14ac:dyDescent="0.3">
      <c r="A29" s="80" t="s">
        <v>17</v>
      </c>
      <c r="B29" s="81" t="str">
        <f t="shared" si="6"/>
        <v>USD</v>
      </c>
      <c r="C29" s="82" t="str">
        <f t="shared" si="7"/>
        <v>JPY</v>
      </c>
      <c r="D29" s="83">
        <v>100000</v>
      </c>
      <c r="E29" s="84">
        <f t="shared" si="8"/>
        <v>0.01</v>
      </c>
      <c r="F29" s="83" t="b">
        <f t="shared" si="9"/>
        <v>1</v>
      </c>
      <c r="G29" s="85" t="b">
        <f t="shared" si="0"/>
        <v>1</v>
      </c>
      <c r="H29" s="85" t="str">
        <f t="shared" si="10"/>
        <v>TRUE</v>
      </c>
      <c r="I29" s="85" t="str">
        <f t="shared" si="10"/>
        <v>FALSE</v>
      </c>
      <c r="J29" s="86">
        <f>VLOOKUP(A29,'Data Feed'!$A$3:$D$30,3,FALSE)</f>
        <v>107.756</v>
      </c>
      <c r="K29" s="87">
        <f>VLOOKUP(A29,'Data Feed'!$A$3:$D$30,4,FALSE)</f>
        <v>107.756</v>
      </c>
      <c r="L29" s="100">
        <f t="shared" si="11"/>
        <v>9.2802256950889053</v>
      </c>
      <c r="M29" s="20" t="str">
        <f t="shared" si="1"/>
        <v/>
      </c>
      <c r="N29" s="20">
        <f t="shared" si="2"/>
        <v>9.2802256950889053</v>
      </c>
      <c r="O29" s="21" t="str">
        <f t="shared" si="3"/>
        <v/>
      </c>
      <c r="P29" s="22" t="str">
        <f t="shared" si="4"/>
        <v/>
      </c>
      <c r="Q29" s="21" t="str">
        <f t="shared" si="12"/>
        <v/>
      </c>
      <c r="R29" s="20" t="str">
        <f t="shared" si="5"/>
        <v/>
      </c>
    </row>
    <row r="30" spans="1:18" ht="16.5" customHeight="1" x14ac:dyDescent="0.3">
      <c r="A30" s="2"/>
      <c r="B30" s="3"/>
      <c r="C30" s="4"/>
      <c r="D30" s="5"/>
      <c r="E30" s="6"/>
      <c r="F30" s="5"/>
      <c r="G30" s="7"/>
      <c r="H30" s="7"/>
      <c r="I30" s="7"/>
      <c r="K30" s="9"/>
    </row>
    <row r="31" spans="1:18" ht="16.5" customHeight="1" x14ac:dyDescent="0.3">
      <c r="A31" s="319" t="s">
        <v>106</v>
      </c>
      <c r="B31" s="319"/>
      <c r="C31" s="319"/>
      <c r="D31" s="319"/>
      <c r="E31" s="319"/>
      <c r="F31" s="319"/>
      <c r="G31" s="319"/>
      <c r="H31" s="319"/>
      <c r="I31" s="319"/>
      <c r="J31" s="319"/>
      <c r="K31" s="319"/>
      <c r="L31" s="319"/>
    </row>
    <row r="32" spans="1:18" ht="16.5" customHeight="1" x14ac:dyDescent="0.3">
      <c r="A32" s="2"/>
      <c r="B32" s="3"/>
      <c r="C32" s="4"/>
      <c r="D32" s="5"/>
      <c r="E32" s="6"/>
      <c r="F32" s="5"/>
      <c r="G32" s="7"/>
      <c r="H32" s="7"/>
      <c r="I32" s="7"/>
      <c r="K32" s="9"/>
    </row>
    <row r="33" spans="1:11" ht="16.5" customHeight="1" x14ac:dyDescent="0.3">
      <c r="A33" s="2"/>
      <c r="B33" s="3"/>
      <c r="C33" s="4"/>
      <c r="D33" s="5"/>
      <c r="E33" s="6"/>
      <c r="F33" s="5"/>
      <c r="G33" s="7"/>
      <c r="H33" s="7"/>
      <c r="I33" s="7"/>
      <c r="K33" s="9"/>
    </row>
    <row r="34" spans="1:11" ht="16.5" customHeight="1" x14ac:dyDescent="0.3">
      <c r="A34" s="2"/>
      <c r="B34" s="3"/>
      <c r="C34" s="4"/>
      <c r="D34" s="5"/>
      <c r="E34" s="6"/>
      <c r="F34" s="5"/>
      <c r="G34" s="7"/>
      <c r="H34" s="7"/>
      <c r="I34" s="7"/>
      <c r="K34" s="9"/>
    </row>
    <row r="35" spans="1:11" ht="16.5" customHeight="1" x14ac:dyDescent="0.3">
      <c r="A35" s="2"/>
      <c r="B35" s="3"/>
      <c r="C35" s="4"/>
      <c r="D35" s="5"/>
      <c r="E35" s="6"/>
      <c r="F35" s="5"/>
      <c r="G35" s="7"/>
      <c r="H35" s="7"/>
      <c r="I35" s="7"/>
      <c r="K35" s="9"/>
    </row>
    <row r="36" spans="1:11" ht="16.5" customHeight="1" x14ac:dyDescent="0.3">
      <c r="A36" s="2"/>
      <c r="B36" s="3"/>
      <c r="C36" s="4"/>
      <c r="D36" s="5"/>
      <c r="E36" s="6"/>
      <c r="F36" s="5"/>
      <c r="G36" s="7"/>
      <c r="H36" s="7"/>
      <c r="I36" s="7"/>
      <c r="K36" s="9"/>
    </row>
    <row r="37" spans="1:11" ht="16.5" customHeight="1" x14ac:dyDescent="0.3">
      <c r="A37" s="2"/>
      <c r="B37" s="3"/>
      <c r="C37" s="4"/>
      <c r="D37" s="5"/>
      <c r="E37" s="6"/>
      <c r="F37" s="5"/>
      <c r="G37" s="7"/>
      <c r="H37" s="7"/>
      <c r="I37" s="7"/>
      <c r="K37" s="9"/>
    </row>
    <row r="38" spans="1:11" ht="16.5" customHeight="1" x14ac:dyDescent="0.3">
      <c r="A38" s="2"/>
      <c r="B38" s="3"/>
      <c r="C38" s="4"/>
      <c r="D38" s="5"/>
      <c r="E38" s="6"/>
      <c r="F38" s="5"/>
      <c r="G38" s="7"/>
      <c r="H38" s="7"/>
      <c r="I38" s="7"/>
      <c r="K38" s="9"/>
    </row>
    <row r="39" spans="1:11" ht="16.5" customHeight="1" x14ac:dyDescent="0.3">
      <c r="A39" s="2"/>
      <c r="B39" s="3"/>
      <c r="C39" s="4"/>
      <c r="D39" s="5"/>
      <c r="E39" s="6"/>
      <c r="F39" s="5"/>
      <c r="G39" s="7"/>
      <c r="H39" s="7"/>
      <c r="I39" s="7"/>
      <c r="K39" s="9"/>
    </row>
    <row r="40" spans="1:11" ht="16.5" customHeight="1" x14ac:dyDescent="0.3">
      <c r="A40" s="2"/>
      <c r="B40" s="3"/>
      <c r="C40" s="4"/>
      <c r="D40" s="5"/>
      <c r="E40" s="6"/>
      <c r="F40" s="5"/>
      <c r="G40" s="7"/>
      <c r="H40" s="7"/>
      <c r="I40" s="7"/>
      <c r="K40" s="9"/>
    </row>
    <row r="41" spans="1:11" ht="16.5" customHeight="1" x14ac:dyDescent="0.3">
      <c r="A41" s="2"/>
      <c r="B41" s="3"/>
      <c r="C41" s="4"/>
      <c r="D41" s="5"/>
      <c r="E41" s="6"/>
      <c r="F41" s="5"/>
      <c r="G41" s="7"/>
      <c r="H41" s="7"/>
      <c r="I41" s="7"/>
      <c r="K41" s="9"/>
    </row>
    <row r="42" spans="1:11" ht="16.5" customHeight="1" x14ac:dyDescent="0.3">
      <c r="A42" s="2"/>
      <c r="B42" s="3"/>
      <c r="C42" s="4"/>
      <c r="D42" s="5"/>
      <c r="E42" s="6"/>
      <c r="F42" s="5"/>
      <c r="G42" s="7"/>
      <c r="H42" s="7"/>
      <c r="I42" s="7"/>
      <c r="K42" s="9"/>
    </row>
    <row r="43" spans="1:11" ht="16.5" customHeight="1" x14ac:dyDescent="0.3">
      <c r="A43" s="2"/>
      <c r="B43" s="3"/>
      <c r="C43" s="4"/>
      <c r="D43" s="5"/>
      <c r="E43" s="6"/>
      <c r="F43" s="5"/>
      <c r="G43" s="7"/>
      <c r="H43" s="7"/>
      <c r="I43" s="7"/>
      <c r="K43" s="9"/>
    </row>
    <row r="44" spans="1:11" ht="16.5" customHeight="1" x14ac:dyDescent="0.3">
      <c r="A44" s="2"/>
      <c r="B44" s="3"/>
      <c r="C44" s="4"/>
      <c r="D44" s="5"/>
      <c r="E44" s="6"/>
      <c r="F44" s="5"/>
      <c r="G44" s="7"/>
      <c r="H44" s="7"/>
      <c r="I44" s="7"/>
      <c r="K44" s="9"/>
    </row>
    <row r="45" spans="1:11" ht="16.5" customHeight="1" x14ac:dyDescent="0.3">
      <c r="A45" s="2"/>
      <c r="B45" s="3"/>
      <c r="C45" s="4"/>
      <c r="D45" s="5"/>
      <c r="E45" s="6"/>
      <c r="F45" s="5"/>
      <c r="G45" s="7"/>
      <c r="H45" s="7"/>
      <c r="I45" s="7"/>
      <c r="K45" s="9"/>
    </row>
    <row r="46" spans="1:11" ht="16.5" customHeight="1" x14ac:dyDescent="0.3">
      <c r="A46" s="2"/>
      <c r="B46" s="3"/>
      <c r="C46" s="4"/>
      <c r="D46" s="5"/>
      <c r="E46" s="6"/>
      <c r="F46" s="5"/>
      <c r="G46" s="7"/>
      <c r="H46" s="7"/>
      <c r="I46" s="7"/>
      <c r="K46" s="9"/>
    </row>
    <row r="47" spans="1:11" ht="16.5" customHeight="1" x14ac:dyDescent="0.3">
      <c r="A47" s="2"/>
      <c r="B47" s="3"/>
      <c r="C47" s="4"/>
      <c r="D47" s="5"/>
      <c r="E47" s="6"/>
      <c r="F47" s="5"/>
      <c r="G47" s="7"/>
      <c r="H47" s="7"/>
      <c r="I47" s="7"/>
      <c r="K47" s="9"/>
    </row>
    <row r="48" spans="1:11" ht="16.5" customHeight="1" x14ac:dyDescent="0.3">
      <c r="A48" s="2"/>
      <c r="B48" s="3"/>
      <c r="C48" s="4"/>
      <c r="D48" s="5"/>
      <c r="E48" s="6"/>
      <c r="F48" s="5"/>
      <c r="G48" s="7"/>
      <c r="H48" s="7"/>
      <c r="I48" s="7"/>
      <c r="K48" s="9"/>
    </row>
    <row r="49" spans="1:11" ht="16.5" customHeight="1" x14ac:dyDescent="0.3">
      <c r="A49" s="2"/>
      <c r="B49" s="3"/>
      <c r="C49" s="4"/>
      <c r="D49" s="5"/>
      <c r="E49" s="6"/>
      <c r="F49" s="5"/>
      <c r="G49" s="7"/>
      <c r="H49" s="7"/>
      <c r="I49" s="7"/>
      <c r="K49" s="9"/>
    </row>
    <row r="50" spans="1:11" ht="16.5" customHeight="1" x14ac:dyDescent="0.3">
      <c r="A50" s="2"/>
      <c r="B50" s="3"/>
      <c r="C50" s="4"/>
      <c r="D50" s="5"/>
      <c r="E50" s="6"/>
      <c r="F50" s="5"/>
      <c r="G50" s="7"/>
      <c r="H50" s="7"/>
      <c r="I50" s="7"/>
      <c r="K50" s="9"/>
    </row>
    <row r="51" spans="1:11" ht="16.5" customHeight="1" x14ac:dyDescent="0.3">
      <c r="A51" s="2"/>
      <c r="B51" s="3"/>
      <c r="C51" s="4"/>
      <c r="D51" s="5"/>
      <c r="E51" s="6"/>
      <c r="F51" s="5"/>
      <c r="G51" s="7"/>
      <c r="H51" s="7"/>
      <c r="I51" s="7"/>
      <c r="K51" s="9"/>
    </row>
    <row r="52" spans="1:11" ht="16.5" customHeight="1" x14ac:dyDescent="0.3">
      <c r="A52" s="2"/>
      <c r="B52" s="3"/>
      <c r="C52" s="4"/>
      <c r="D52" s="5"/>
      <c r="E52" s="6"/>
      <c r="F52" s="5"/>
      <c r="G52" s="7"/>
      <c r="H52" s="7"/>
      <c r="I52" s="7"/>
      <c r="K52" s="9"/>
    </row>
    <row r="53" spans="1:11" ht="16.5" customHeight="1" x14ac:dyDescent="0.3">
      <c r="A53" s="2"/>
      <c r="B53" s="3"/>
      <c r="C53" s="4"/>
      <c r="D53" s="5"/>
      <c r="E53" s="6"/>
      <c r="F53" s="5"/>
      <c r="G53" s="7"/>
      <c r="H53" s="7"/>
      <c r="I53" s="7"/>
      <c r="K53" s="9"/>
    </row>
    <row r="54" spans="1:11" ht="16.5" customHeight="1" x14ac:dyDescent="0.3">
      <c r="A54" s="2"/>
      <c r="B54" s="3"/>
      <c r="C54" s="4"/>
      <c r="D54" s="5"/>
      <c r="E54" s="6"/>
      <c r="F54" s="5"/>
      <c r="G54" s="2"/>
      <c r="H54" s="2"/>
      <c r="I54" s="2"/>
      <c r="K54" s="9"/>
    </row>
    <row r="55" spans="1:11" ht="16.5" customHeight="1" x14ac:dyDescent="0.3">
      <c r="A55" s="2"/>
      <c r="B55" s="3"/>
      <c r="C55" s="4"/>
      <c r="D55" s="5"/>
      <c r="E55" s="6"/>
      <c r="F55" s="5"/>
      <c r="G55" s="7"/>
      <c r="H55" s="7"/>
      <c r="I55" s="7"/>
      <c r="K55" s="9"/>
    </row>
    <row r="56" spans="1:11" ht="16.5" customHeight="1" x14ac:dyDescent="0.3">
      <c r="A56" s="2"/>
      <c r="B56" s="3"/>
      <c r="C56" s="4"/>
      <c r="D56" s="5"/>
      <c r="E56" s="6"/>
      <c r="F56" s="5"/>
      <c r="G56" s="7"/>
      <c r="H56" s="7"/>
      <c r="I56" s="7"/>
      <c r="K56" s="9"/>
    </row>
    <row r="57" spans="1:11" ht="16.5" customHeight="1" x14ac:dyDescent="0.3">
      <c r="A57" s="2"/>
      <c r="B57" s="3"/>
      <c r="C57" s="4"/>
      <c r="D57" s="5"/>
      <c r="E57" s="6"/>
      <c r="F57" s="5"/>
      <c r="G57" s="7"/>
      <c r="H57" s="7"/>
      <c r="I57" s="7"/>
      <c r="K57" s="9"/>
    </row>
    <row r="58" spans="1:11" ht="16.5" customHeight="1" x14ac:dyDescent="0.3">
      <c r="A58" s="2"/>
      <c r="B58" s="3"/>
      <c r="C58" s="4"/>
      <c r="D58" s="5"/>
      <c r="E58" s="6"/>
      <c r="F58" s="5"/>
      <c r="G58" s="7"/>
      <c r="H58" s="7"/>
      <c r="I58" s="7"/>
      <c r="K58" s="9"/>
    </row>
    <row r="59" spans="1:11" ht="16.5" customHeight="1" x14ac:dyDescent="0.3">
      <c r="A59" s="2"/>
      <c r="B59" s="3"/>
      <c r="C59" s="4"/>
      <c r="D59" s="5"/>
      <c r="E59" s="6"/>
      <c r="F59" s="5"/>
      <c r="G59" s="7"/>
      <c r="H59" s="7"/>
      <c r="I59" s="7"/>
      <c r="K59" s="9"/>
    </row>
    <row r="60" spans="1:11" ht="16.5" customHeight="1" x14ac:dyDescent="0.3">
      <c r="A60" s="2"/>
      <c r="B60" s="3"/>
      <c r="C60" s="4"/>
      <c r="D60" s="5"/>
      <c r="E60" s="6"/>
      <c r="F60" s="5"/>
      <c r="G60" s="7"/>
      <c r="H60" s="7"/>
      <c r="I60" s="7"/>
      <c r="K60" s="9"/>
    </row>
    <row r="61" spans="1:11" ht="16.5" customHeight="1" x14ac:dyDescent="0.3">
      <c r="A61" s="2"/>
      <c r="B61" s="3"/>
      <c r="C61" s="4"/>
      <c r="D61" s="5"/>
      <c r="E61" s="6"/>
      <c r="F61" s="5"/>
      <c r="G61" s="7"/>
      <c r="H61" s="7"/>
      <c r="I61" s="7"/>
      <c r="K61" s="9"/>
    </row>
    <row r="62" spans="1:11" ht="16.5" customHeight="1" x14ac:dyDescent="0.3">
      <c r="A62" s="2"/>
      <c r="B62" s="3"/>
      <c r="C62" s="4"/>
      <c r="D62" s="5"/>
      <c r="E62" s="6"/>
      <c r="F62" s="5"/>
      <c r="G62" s="7"/>
      <c r="H62" s="7"/>
      <c r="I62" s="7"/>
      <c r="K62" s="9"/>
    </row>
    <row r="63" spans="1:11" ht="16.5" customHeight="1" x14ac:dyDescent="0.3">
      <c r="A63" s="2"/>
      <c r="B63" s="3"/>
      <c r="C63" s="4"/>
      <c r="D63" s="5"/>
      <c r="E63" s="6"/>
      <c r="F63" s="5"/>
      <c r="G63" s="7"/>
      <c r="H63" s="7"/>
      <c r="I63" s="7"/>
      <c r="K63" s="9"/>
    </row>
    <row r="64" spans="1:11" ht="16.5" customHeight="1" x14ac:dyDescent="0.3">
      <c r="A64" s="2"/>
      <c r="B64" s="3"/>
      <c r="C64" s="4"/>
      <c r="D64" s="5"/>
      <c r="E64" s="6"/>
      <c r="F64" s="5"/>
      <c r="G64" s="7"/>
      <c r="H64" s="7"/>
      <c r="I64" s="7"/>
      <c r="K64" s="9"/>
    </row>
    <row r="65" spans="1:11" ht="16.5" customHeight="1" x14ac:dyDescent="0.3">
      <c r="A65" s="2"/>
      <c r="B65" s="3"/>
      <c r="C65" s="4"/>
      <c r="D65" s="5"/>
      <c r="E65" s="6"/>
      <c r="F65" s="5"/>
      <c r="G65" s="7"/>
      <c r="H65" s="7"/>
      <c r="I65" s="7"/>
      <c r="K65" s="9"/>
    </row>
    <row r="66" spans="1:11" ht="16.5" customHeight="1" x14ac:dyDescent="0.3">
      <c r="A66" s="2"/>
      <c r="B66" s="3"/>
      <c r="C66" s="4"/>
      <c r="D66" s="5"/>
      <c r="E66" s="6"/>
      <c r="F66" s="5"/>
      <c r="G66" s="7"/>
      <c r="H66" s="7"/>
      <c r="I66" s="7"/>
      <c r="K66" s="9"/>
    </row>
    <row r="67" spans="1:11" ht="16.5" customHeight="1" x14ac:dyDescent="0.3">
      <c r="A67" s="2"/>
      <c r="B67" s="3"/>
      <c r="C67" s="4"/>
      <c r="D67" s="5"/>
      <c r="E67" s="6"/>
      <c r="F67" s="5"/>
      <c r="G67" s="7"/>
      <c r="H67" s="7"/>
      <c r="I67" s="7"/>
      <c r="K67" s="9"/>
    </row>
    <row r="68" spans="1:11" ht="16.5" customHeight="1" x14ac:dyDescent="0.3">
      <c r="A68" s="2"/>
      <c r="B68" s="3"/>
      <c r="C68" s="4"/>
      <c r="D68" s="5"/>
      <c r="E68" s="6"/>
      <c r="F68" s="5"/>
      <c r="G68" s="7"/>
      <c r="H68" s="7"/>
      <c r="I68" s="7"/>
      <c r="K68" s="9"/>
    </row>
    <row r="69" spans="1:11" ht="16.5" customHeight="1" x14ac:dyDescent="0.3">
      <c r="A69" s="2"/>
      <c r="B69" s="3"/>
      <c r="C69" s="4"/>
      <c r="D69" s="5"/>
      <c r="E69" s="6"/>
      <c r="F69" s="5"/>
      <c r="G69" s="7"/>
      <c r="H69" s="7"/>
      <c r="I69" s="7"/>
      <c r="K69" s="9"/>
    </row>
    <row r="70" spans="1:11" ht="16.5" customHeight="1" x14ac:dyDescent="0.3">
      <c r="A70" s="2"/>
      <c r="B70" s="3"/>
      <c r="C70" s="4"/>
      <c r="D70" s="5"/>
      <c r="E70" s="6"/>
      <c r="F70" s="5"/>
      <c r="G70" s="7"/>
      <c r="H70" s="7"/>
      <c r="I70" s="7"/>
      <c r="K70" s="9"/>
    </row>
    <row r="71" spans="1:11" ht="16.5" customHeight="1" x14ac:dyDescent="0.3">
      <c r="A71" s="2"/>
      <c r="B71" s="3"/>
      <c r="C71" s="4"/>
      <c r="D71" s="5"/>
      <c r="E71" s="6"/>
      <c r="F71" s="5"/>
      <c r="G71" s="7"/>
      <c r="H71" s="7"/>
      <c r="I71" s="7"/>
      <c r="K71" s="9"/>
    </row>
    <row r="72" spans="1:11" ht="16.5" customHeight="1" x14ac:dyDescent="0.3">
      <c r="A72" s="2"/>
      <c r="B72" s="3"/>
      <c r="C72" s="4"/>
      <c r="D72" s="5"/>
      <c r="E72" s="6"/>
      <c r="F72" s="5"/>
      <c r="G72" s="2"/>
      <c r="H72" s="2"/>
      <c r="I72" s="2"/>
      <c r="K72" s="9"/>
    </row>
    <row r="73" spans="1:11" ht="16.5" customHeight="1" x14ac:dyDescent="0.3">
      <c r="A73" s="2"/>
      <c r="B73" s="3"/>
      <c r="C73" s="4"/>
      <c r="D73" s="5"/>
      <c r="E73" s="6"/>
      <c r="F73" s="5"/>
      <c r="G73" s="2"/>
      <c r="H73" s="2"/>
      <c r="I73" s="2"/>
      <c r="K73" s="9"/>
    </row>
    <row r="74" spans="1:11" ht="16.5" customHeight="1" x14ac:dyDescent="0.3">
      <c r="A74" s="2"/>
      <c r="B74" s="3"/>
      <c r="C74" s="4"/>
      <c r="D74" s="5"/>
      <c r="E74" s="6"/>
      <c r="F74" s="5"/>
      <c r="G74" s="7"/>
      <c r="H74" s="7"/>
      <c r="I74" s="7"/>
      <c r="K74" s="9"/>
    </row>
    <row r="75" spans="1:11" ht="16.5" customHeight="1" x14ac:dyDescent="0.3">
      <c r="A75" s="2"/>
      <c r="B75" s="3"/>
      <c r="C75" s="4"/>
      <c r="D75" s="5"/>
      <c r="E75" s="6"/>
      <c r="F75" s="5"/>
      <c r="G75" s="7"/>
      <c r="H75" s="7"/>
      <c r="I75" s="7"/>
      <c r="K75" s="9"/>
    </row>
    <row r="76" spans="1:11" ht="16.5" customHeight="1" x14ac:dyDescent="0.3">
      <c r="A76" s="2"/>
      <c r="B76" s="3"/>
      <c r="C76" s="4"/>
      <c r="D76" s="5"/>
      <c r="E76" s="6"/>
      <c r="F76" s="5"/>
      <c r="G76" s="7"/>
      <c r="H76" s="7"/>
      <c r="I76" s="7"/>
      <c r="K76" s="9"/>
    </row>
    <row r="77" spans="1:11" ht="16.5" customHeight="1" x14ac:dyDescent="0.3">
      <c r="A77" s="2"/>
      <c r="B77" s="3"/>
      <c r="C77" s="4"/>
      <c r="D77" s="5"/>
      <c r="E77" s="6"/>
      <c r="F77" s="5"/>
      <c r="G77" s="7"/>
      <c r="H77" s="7"/>
      <c r="I77" s="7"/>
      <c r="K77" s="9"/>
    </row>
    <row r="78" spans="1:11" ht="16.5" customHeight="1" x14ac:dyDescent="0.3">
      <c r="A78" s="2"/>
      <c r="B78" s="3"/>
      <c r="C78" s="4"/>
      <c r="D78" s="5"/>
      <c r="E78" s="6"/>
      <c r="F78" s="5"/>
      <c r="G78" s="7"/>
      <c r="H78" s="7"/>
      <c r="I78" s="7"/>
      <c r="K78" s="9"/>
    </row>
    <row r="79" spans="1:11" ht="16.5" customHeight="1" x14ac:dyDescent="0.3">
      <c r="A79" s="2"/>
      <c r="B79" s="3"/>
      <c r="C79" s="4"/>
      <c r="D79" s="5"/>
      <c r="E79" s="6"/>
      <c r="F79" s="5"/>
      <c r="G79" s="7"/>
      <c r="H79" s="7"/>
      <c r="I79" s="7"/>
      <c r="K79" s="9"/>
    </row>
    <row r="80" spans="1:11" ht="16.5" customHeight="1" x14ac:dyDescent="0.3">
      <c r="A80" s="2"/>
      <c r="B80" s="3"/>
      <c r="C80" s="4"/>
      <c r="D80" s="5"/>
      <c r="E80" s="6"/>
      <c r="F80" s="5"/>
      <c r="G80" s="7"/>
      <c r="H80" s="7"/>
      <c r="I80" s="7"/>
      <c r="K80" s="9"/>
    </row>
    <row r="81" spans="1:11" ht="16.5" customHeight="1" x14ac:dyDescent="0.3">
      <c r="A81" s="2"/>
      <c r="B81" s="3"/>
      <c r="C81" s="4"/>
      <c r="D81" s="5"/>
      <c r="E81" s="6"/>
      <c r="F81" s="5"/>
      <c r="G81" s="7"/>
      <c r="H81" s="7"/>
      <c r="I81" s="7"/>
      <c r="K81" s="9"/>
    </row>
    <row r="82" spans="1:11" ht="16.5" customHeight="1" x14ac:dyDescent="0.3">
      <c r="A82" s="2"/>
      <c r="B82" s="3"/>
      <c r="C82" s="4"/>
      <c r="D82" s="5"/>
      <c r="E82" s="6"/>
      <c r="F82" s="5"/>
      <c r="G82" s="7"/>
      <c r="H82" s="7"/>
      <c r="I82" s="7"/>
      <c r="K82" s="9"/>
    </row>
    <row r="83" spans="1:11" ht="16.5" customHeight="1" x14ac:dyDescent="0.3">
      <c r="A83" s="2"/>
      <c r="B83" s="3"/>
      <c r="C83" s="4"/>
      <c r="D83" s="5"/>
      <c r="E83" s="6"/>
      <c r="F83" s="5"/>
      <c r="G83" s="7"/>
      <c r="H83" s="7"/>
      <c r="I83" s="7"/>
      <c r="K83" s="9"/>
    </row>
    <row r="84" spans="1:11" ht="16.5" customHeight="1" x14ac:dyDescent="0.3">
      <c r="A84" s="2"/>
      <c r="B84" s="3"/>
      <c r="C84" s="4"/>
      <c r="D84" s="5"/>
      <c r="E84" s="6"/>
      <c r="F84" s="5"/>
      <c r="G84" s="7"/>
      <c r="H84" s="7"/>
      <c r="I84" s="7"/>
      <c r="K84" s="9"/>
    </row>
  </sheetData>
  <mergeCells count="2">
    <mergeCell ref="O1:R1"/>
    <mergeCell ref="A31:L31"/>
  </mergeCells>
  <conditionalFormatting sqref="L30 L1 L32:L1048576">
    <cfRule type="colorScale" priority="2">
      <colorScale>
        <cfvo type="min"/>
        <cfvo type="percentile" val="50"/>
        <cfvo type="max"/>
        <color theme="5" tint="-0.249977111117893"/>
        <color rgb="FFFFEB84"/>
        <color theme="9" tint="-0.249977111117893"/>
      </colorScale>
    </cfRule>
  </conditionalFormatting>
  <conditionalFormatting sqref="L2:L29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Y83"/>
  <sheetViews>
    <sheetView workbookViewId="0">
      <selection activeCell="X30" sqref="X30"/>
    </sheetView>
  </sheetViews>
  <sheetFormatPr defaultColWidth="18.88671875" defaultRowHeight="16.5" customHeight="1" x14ac:dyDescent="0.3"/>
  <cols>
    <col min="1" max="1" width="12.21875" style="1" customWidth="1"/>
    <col min="2" max="2" width="10.5546875" style="12" hidden="1" customWidth="1"/>
    <col min="3" max="3" width="8.5546875" style="14" hidden="1" customWidth="1"/>
    <col min="4" max="4" width="10.33203125" style="15" hidden="1" customWidth="1"/>
    <col min="5" max="5" width="10.33203125" style="16" hidden="1" customWidth="1"/>
    <col min="6" max="6" width="10.33203125" style="15" hidden="1" customWidth="1"/>
    <col min="7" max="7" width="13.33203125" style="1" hidden="1" customWidth="1"/>
    <col min="8" max="9" width="8.44140625" style="1" hidden="1" customWidth="1"/>
    <col min="10" max="11" width="14" style="8" hidden="1" customWidth="1"/>
    <col min="12" max="12" width="15.33203125" style="10" customWidth="1"/>
    <col min="13" max="13" width="12.5546875" style="11" hidden="1" customWidth="1"/>
    <col min="14" max="14" width="12" style="11" hidden="1" customWidth="1"/>
    <col min="15" max="15" width="9.21875" style="1" hidden="1" customWidth="1"/>
    <col min="16" max="16" width="10.5546875" style="8" hidden="1" customWidth="1"/>
    <col min="17" max="17" width="6.21875" style="12" hidden="1" customWidth="1"/>
    <col min="18" max="18" width="8.77734375" style="11" hidden="1" customWidth="1"/>
    <col min="19" max="19" width="8.44140625" style="1" hidden="1" customWidth="1"/>
    <col min="20" max="20" width="12" style="1" customWidth="1"/>
    <col min="21" max="21" width="13.44140625" style="1" customWidth="1"/>
    <col min="22" max="22" width="23.21875" style="16" customWidth="1"/>
    <col min="23" max="23" width="18.88671875" style="1"/>
    <col min="24" max="24" width="24.44140625" style="1" customWidth="1"/>
    <col min="25" max="25" width="18.44140625" style="1" customWidth="1"/>
    <col min="26" max="16384" width="18.88671875" style="1"/>
  </cols>
  <sheetData>
    <row r="1" spans="1:25" s="19" customFormat="1" ht="16.5" customHeight="1" x14ac:dyDescent="0.3">
      <c r="A1" s="69" t="s">
        <v>37</v>
      </c>
      <c r="B1" s="70" t="s">
        <v>52</v>
      </c>
      <c r="C1" s="69" t="s">
        <v>53</v>
      </c>
      <c r="D1" s="71" t="s">
        <v>54</v>
      </c>
      <c r="E1" s="72" t="s">
        <v>55</v>
      </c>
      <c r="F1" s="71" t="s">
        <v>55</v>
      </c>
      <c r="G1" s="73" t="s">
        <v>56</v>
      </c>
      <c r="H1" s="73" t="s">
        <v>57</v>
      </c>
      <c r="I1" s="73" t="s">
        <v>58</v>
      </c>
      <c r="J1" s="74" t="s">
        <v>60</v>
      </c>
      <c r="K1" s="75" t="s">
        <v>59</v>
      </c>
      <c r="L1" s="76" t="s">
        <v>61</v>
      </c>
      <c r="M1" s="77" t="s">
        <v>62</v>
      </c>
      <c r="N1" s="78" t="s">
        <v>63</v>
      </c>
      <c r="O1" s="320" t="s">
        <v>64</v>
      </c>
      <c r="P1" s="320"/>
      <c r="Q1" s="320"/>
      <c r="R1" s="320"/>
      <c r="S1" s="79" t="s">
        <v>82</v>
      </c>
      <c r="T1" s="79" t="s">
        <v>84</v>
      </c>
      <c r="U1" s="79" t="s">
        <v>86</v>
      </c>
      <c r="V1" s="115" t="s">
        <v>94</v>
      </c>
    </row>
    <row r="2" spans="1:25" s="21" customFormat="1" ht="16.5" customHeight="1" x14ac:dyDescent="0.3">
      <c r="A2" s="80" t="s">
        <v>26</v>
      </c>
      <c r="B2" s="81" t="str">
        <f t="shared" ref="B2:B29" si="0">LEFT(A2,3)</f>
        <v>AUD</v>
      </c>
      <c r="C2" s="82" t="str">
        <f t="shared" ref="C2:C29" si="1">RIGHT(A2,3)</f>
        <v>USD</v>
      </c>
      <c r="D2" s="83">
        <v>100000</v>
      </c>
      <c r="E2" s="84">
        <f t="shared" ref="E2:E29" si="2">IF(F2=FALSE,0.0001,0.01)</f>
        <v>1E-4</v>
      </c>
      <c r="F2" s="83" t="b">
        <f t="shared" ref="F2:F29" si="3">ISNUMBER(SEARCH("JPY",A2))</f>
        <v>0</v>
      </c>
      <c r="G2" s="85" t="b">
        <f t="shared" ref="G2:G29" si="4">ISNUMBER(SEARCH("USD",A2))</f>
        <v>1</v>
      </c>
      <c r="H2" s="85" t="str">
        <f t="shared" ref="H2:H29" si="5">IF(B2="USD","TRUE","FALSE")</f>
        <v>FALSE</v>
      </c>
      <c r="I2" s="85" t="str">
        <f t="shared" ref="I2:I29" si="6">IF(C2="USD","TRUE","FALSE")</f>
        <v>TRUE</v>
      </c>
      <c r="J2" s="86">
        <f>VLOOKUP(A2,'Data Feed'!$A$3:$E$30,3,FALSE)</f>
        <v>0.68540999999999996</v>
      </c>
      <c r="K2" s="87">
        <f>VLOOKUP(A2,'Data Feed'!$A$3:$E$30,4,FALSE)</f>
        <v>0.68542999999999998</v>
      </c>
      <c r="L2" s="88">
        <f t="shared" ref="L2:L29" si="7">IF(I2="TRUE",D2*E2,(IF(H2="TRUE",(D2*E2)/K2,(IF(G2=FALSE,R2,"")))))</f>
        <v>10</v>
      </c>
      <c r="M2" s="89">
        <f t="shared" ref="M2:M29" si="8">IF(I2="TRUE",D2*E2,"")</f>
        <v>10</v>
      </c>
      <c r="N2" s="89" t="str">
        <f t="shared" ref="N2:N29" si="9">IF(H2="TRUE",(D2*E2)/K2,"")</f>
        <v/>
      </c>
      <c r="O2" s="80" t="str">
        <f t="shared" ref="O2:O29" si="10">IF(G2=FALSE,IFERROR(VLOOKUP(C2&amp;"USD",$A$2:$A$29,1,FALSE),"USD"&amp;C2),"")</f>
        <v/>
      </c>
      <c r="P2" s="86" t="str">
        <f t="shared" ref="P2:P29" si="11">IF(O2="","",(IF(LEFT(O2,3)="USD",VLOOKUP(O2,$A$2:$K$29,10,FALSE),VLOOKUP(O2,$A$2:$K$29,11,FALSE))))</f>
        <v/>
      </c>
      <c r="Q2" s="81" t="str">
        <f t="shared" ref="Q2:Q29" si="12">IF(O2="","",(IF(LEFT(O2,3)="USD","ASK","BID")))</f>
        <v/>
      </c>
      <c r="R2" s="89" t="str">
        <f t="shared" ref="R2:R29" si="13">IF(Q2="ASK",(D2*E2/P2),(IF(Q2="BID",((D2*E2)*P2),"")))</f>
        <v/>
      </c>
      <c r="S2" s="80">
        <f>(D2*E2)/10</f>
        <v>1</v>
      </c>
      <c r="T2" s="90">
        <f t="shared" ref="T2:T29" si="14">$Y$3</f>
        <v>100</v>
      </c>
      <c r="U2" s="91">
        <f t="shared" ref="U2:U29" si="15">$Y$2*100000</f>
        <v>10000</v>
      </c>
      <c r="V2" s="116">
        <f>(J2*(U2/S2))/T2</f>
        <v>68.540999999999997</v>
      </c>
      <c r="X2" s="31" t="s">
        <v>85</v>
      </c>
      <c r="Y2" s="29">
        <v>0.1</v>
      </c>
    </row>
    <row r="3" spans="1:25" s="21" customFormat="1" ht="16.5" customHeight="1" x14ac:dyDescent="0.3">
      <c r="A3" s="80" t="s">
        <v>6</v>
      </c>
      <c r="B3" s="81" t="str">
        <f t="shared" si="0"/>
        <v>EUR</v>
      </c>
      <c r="C3" s="82" t="str">
        <f t="shared" si="1"/>
        <v>USD</v>
      </c>
      <c r="D3" s="83">
        <v>100000</v>
      </c>
      <c r="E3" s="84">
        <f t="shared" si="2"/>
        <v>1E-4</v>
      </c>
      <c r="F3" s="83" t="b">
        <f t="shared" si="3"/>
        <v>0</v>
      </c>
      <c r="G3" s="85" t="b">
        <f t="shared" si="4"/>
        <v>1</v>
      </c>
      <c r="H3" s="85" t="str">
        <f t="shared" si="5"/>
        <v>FALSE</v>
      </c>
      <c r="I3" s="85" t="str">
        <f t="shared" si="6"/>
        <v>TRUE</v>
      </c>
      <c r="J3" s="86">
        <f>VLOOKUP(A3,'Data Feed'!$A$3:$E$30,3,FALSE)</f>
        <v>1.11686</v>
      </c>
      <c r="K3" s="87">
        <f>VLOOKUP(A3,'Data Feed'!$A$3:$E$30,4,FALSE)</f>
        <v>1.11686</v>
      </c>
      <c r="L3" s="88">
        <f t="shared" si="7"/>
        <v>10</v>
      </c>
      <c r="M3" s="89">
        <f t="shared" si="8"/>
        <v>10</v>
      </c>
      <c r="N3" s="89" t="str">
        <f t="shared" si="9"/>
        <v/>
      </c>
      <c r="O3" s="80" t="str">
        <f t="shared" si="10"/>
        <v/>
      </c>
      <c r="P3" s="86" t="str">
        <f t="shared" si="11"/>
        <v/>
      </c>
      <c r="Q3" s="81" t="str">
        <f t="shared" si="12"/>
        <v/>
      </c>
      <c r="R3" s="89" t="str">
        <f t="shared" si="13"/>
        <v/>
      </c>
      <c r="S3" s="80">
        <f t="shared" ref="S3:S29" si="16">(D3*E3)/10</f>
        <v>1</v>
      </c>
      <c r="T3" s="90">
        <f t="shared" si="14"/>
        <v>100</v>
      </c>
      <c r="U3" s="91">
        <f t="shared" si="15"/>
        <v>10000</v>
      </c>
      <c r="V3" s="116">
        <f t="shared" ref="V3:V5" si="17">(J3*(U3/S3))/T3</f>
        <v>111.68600000000001</v>
      </c>
      <c r="X3" s="31" t="s">
        <v>87</v>
      </c>
      <c r="Y3" s="30">
        <v>100</v>
      </c>
    </row>
    <row r="4" spans="1:25" s="21" customFormat="1" ht="16.5" customHeight="1" x14ac:dyDescent="0.3">
      <c r="A4" s="80" t="s">
        <v>25</v>
      </c>
      <c r="B4" s="81" t="str">
        <f t="shared" si="0"/>
        <v>GBP</v>
      </c>
      <c r="C4" s="82" t="str">
        <f t="shared" si="1"/>
        <v>USD</v>
      </c>
      <c r="D4" s="83">
        <v>100000</v>
      </c>
      <c r="E4" s="84">
        <f t="shared" si="2"/>
        <v>1E-4</v>
      </c>
      <c r="F4" s="83" t="b">
        <f t="shared" si="3"/>
        <v>0</v>
      </c>
      <c r="G4" s="85" t="b">
        <f t="shared" si="4"/>
        <v>1</v>
      </c>
      <c r="H4" s="85" t="str">
        <f t="shared" si="5"/>
        <v>FALSE</v>
      </c>
      <c r="I4" s="85" t="str">
        <f t="shared" si="6"/>
        <v>TRUE</v>
      </c>
      <c r="J4" s="86">
        <f>VLOOKUP(A4,'Data Feed'!$A$3:$E$30,3,FALSE)</f>
        <v>1.2565599999999999</v>
      </c>
      <c r="K4" s="87">
        <f>VLOOKUP(A4,'Data Feed'!$A$3:$E$30,4,FALSE)</f>
        <v>1.2565599999999999</v>
      </c>
      <c r="L4" s="88">
        <f t="shared" si="7"/>
        <v>10</v>
      </c>
      <c r="M4" s="89">
        <f t="shared" si="8"/>
        <v>10</v>
      </c>
      <c r="N4" s="89" t="str">
        <f t="shared" si="9"/>
        <v/>
      </c>
      <c r="O4" s="80" t="str">
        <f t="shared" si="10"/>
        <v/>
      </c>
      <c r="P4" s="86" t="str">
        <f t="shared" si="11"/>
        <v/>
      </c>
      <c r="Q4" s="81" t="str">
        <f t="shared" si="12"/>
        <v/>
      </c>
      <c r="R4" s="89" t="str">
        <f t="shared" si="13"/>
        <v/>
      </c>
      <c r="S4" s="80">
        <f t="shared" si="16"/>
        <v>1</v>
      </c>
      <c r="T4" s="90">
        <f t="shared" si="14"/>
        <v>100</v>
      </c>
      <c r="U4" s="91">
        <f t="shared" si="15"/>
        <v>10000</v>
      </c>
      <c r="V4" s="116">
        <f t="shared" si="17"/>
        <v>125.65599999999999</v>
      </c>
    </row>
    <row r="5" spans="1:25" s="21" customFormat="1" ht="16.5" customHeight="1" x14ac:dyDescent="0.3">
      <c r="A5" s="80" t="s">
        <v>24</v>
      </c>
      <c r="B5" s="81" t="str">
        <f t="shared" si="0"/>
        <v>NZD</v>
      </c>
      <c r="C5" s="82" t="str">
        <f t="shared" si="1"/>
        <v>USD</v>
      </c>
      <c r="D5" s="83">
        <v>100000</v>
      </c>
      <c r="E5" s="84">
        <f t="shared" si="2"/>
        <v>1E-4</v>
      </c>
      <c r="F5" s="83" t="b">
        <f t="shared" si="3"/>
        <v>0</v>
      </c>
      <c r="G5" s="85" t="b">
        <f t="shared" si="4"/>
        <v>1</v>
      </c>
      <c r="H5" s="85" t="str">
        <f t="shared" si="5"/>
        <v>FALSE</v>
      </c>
      <c r="I5" s="85" t="str">
        <f t="shared" si="6"/>
        <v>TRUE</v>
      </c>
      <c r="J5" s="86">
        <f>VLOOKUP(A5,'Data Feed'!$A$3:$E$30,3,FALSE)</f>
        <v>0.63141999999999998</v>
      </c>
      <c r="K5" s="87">
        <f>VLOOKUP(A5,'Data Feed'!$A$3:$E$30,4,FALSE)</f>
        <v>0.63143000000000005</v>
      </c>
      <c r="L5" s="88">
        <f t="shared" si="7"/>
        <v>10</v>
      </c>
      <c r="M5" s="89">
        <f t="shared" si="8"/>
        <v>10</v>
      </c>
      <c r="N5" s="89" t="str">
        <f t="shared" si="9"/>
        <v/>
      </c>
      <c r="O5" s="80" t="str">
        <f t="shared" si="10"/>
        <v/>
      </c>
      <c r="P5" s="86" t="str">
        <f t="shared" si="11"/>
        <v/>
      </c>
      <c r="Q5" s="81" t="str">
        <f t="shared" si="12"/>
        <v/>
      </c>
      <c r="R5" s="89" t="str">
        <f t="shared" si="13"/>
        <v/>
      </c>
      <c r="S5" s="80">
        <f t="shared" si="16"/>
        <v>1</v>
      </c>
      <c r="T5" s="90">
        <f t="shared" si="14"/>
        <v>100</v>
      </c>
      <c r="U5" s="91">
        <f t="shared" si="15"/>
        <v>10000</v>
      </c>
      <c r="V5" s="116">
        <f t="shared" si="17"/>
        <v>63.141999999999996</v>
      </c>
    </row>
    <row r="6" spans="1:25" s="21" customFormat="1" ht="16.5" customHeight="1" x14ac:dyDescent="0.3">
      <c r="A6" s="80" t="s">
        <v>12</v>
      </c>
      <c r="B6" s="81" t="str">
        <f t="shared" si="0"/>
        <v>USD</v>
      </c>
      <c r="C6" s="82" t="str">
        <f t="shared" si="1"/>
        <v>CAD</v>
      </c>
      <c r="D6" s="83">
        <v>100000</v>
      </c>
      <c r="E6" s="84">
        <f t="shared" si="2"/>
        <v>1E-4</v>
      </c>
      <c r="F6" s="83" t="b">
        <f t="shared" si="3"/>
        <v>0</v>
      </c>
      <c r="G6" s="85" t="b">
        <f t="shared" si="4"/>
        <v>1</v>
      </c>
      <c r="H6" s="85" t="str">
        <f t="shared" si="5"/>
        <v>TRUE</v>
      </c>
      <c r="I6" s="85" t="str">
        <f t="shared" si="6"/>
        <v>FALSE</v>
      </c>
      <c r="J6" s="86">
        <f>VLOOKUP(A6,'Data Feed'!$A$3:$E$30,3,FALSE)</f>
        <v>1.35168</v>
      </c>
      <c r="K6" s="87">
        <f>VLOOKUP(A6,'Data Feed'!$A$3:$E$30,4,FALSE)</f>
        <v>1.35172</v>
      </c>
      <c r="L6" s="88">
        <f t="shared" si="7"/>
        <v>7.3979818305566241</v>
      </c>
      <c r="M6" s="89" t="str">
        <f t="shared" si="8"/>
        <v/>
      </c>
      <c r="N6" s="89">
        <f t="shared" si="9"/>
        <v>7.3979818305566241</v>
      </c>
      <c r="O6" s="80" t="str">
        <f t="shared" si="10"/>
        <v/>
      </c>
      <c r="P6" s="86" t="str">
        <f t="shared" si="11"/>
        <v/>
      </c>
      <c r="Q6" s="81" t="str">
        <f t="shared" si="12"/>
        <v/>
      </c>
      <c r="R6" s="89" t="str">
        <f t="shared" si="13"/>
        <v/>
      </c>
      <c r="S6" s="80">
        <f t="shared" si="16"/>
        <v>1</v>
      </c>
      <c r="T6" s="90">
        <f t="shared" si="14"/>
        <v>100</v>
      </c>
      <c r="U6" s="91">
        <f t="shared" si="15"/>
        <v>10000</v>
      </c>
      <c r="V6" s="116">
        <f>(K6*(U6/S6))/T6</f>
        <v>135.172</v>
      </c>
    </row>
    <row r="7" spans="1:25" s="21" customFormat="1" ht="16.5" customHeight="1" x14ac:dyDescent="0.3">
      <c r="A7" s="80" t="s">
        <v>27</v>
      </c>
      <c r="B7" s="81" t="str">
        <f t="shared" si="0"/>
        <v>USD</v>
      </c>
      <c r="C7" s="82" t="str">
        <f t="shared" si="1"/>
        <v>CHF</v>
      </c>
      <c r="D7" s="83">
        <v>100000</v>
      </c>
      <c r="E7" s="84">
        <f t="shared" si="2"/>
        <v>1E-4</v>
      </c>
      <c r="F7" s="83" t="b">
        <f t="shared" si="3"/>
        <v>0</v>
      </c>
      <c r="G7" s="85" t="b">
        <f t="shared" si="4"/>
        <v>1</v>
      </c>
      <c r="H7" s="85" t="str">
        <f t="shared" si="5"/>
        <v>TRUE</v>
      </c>
      <c r="I7" s="85" t="str">
        <f t="shared" si="6"/>
        <v>FALSE</v>
      </c>
      <c r="J7" s="86">
        <f>VLOOKUP(A7,'Data Feed'!$A$3:$E$30,3,FALSE)</f>
        <v>0.96170999999999995</v>
      </c>
      <c r="K7" s="87">
        <f>VLOOKUP(A7,'Data Feed'!$A$3:$E$30,4,FALSE)</f>
        <v>0.96172999999999997</v>
      </c>
      <c r="L7" s="88">
        <f t="shared" si="7"/>
        <v>10.397928732596467</v>
      </c>
      <c r="M7" s="89" t="str">
        <f t="shared" si="8"/>
        <v/>
      </c>
      <c r="N7" s="89">
        <f t="shared" si="9"/>
        <v>10.397928732596467</v>
      </c>
      <c r="O7" s="80" t="str">
        <f t="shared" si="10"/>
        <v/>
      </c>
      <c r="P7" s="86" t="str">
        <f t="shared" si="11"/>
        <v/>
      </c>
      <c r="Q7" s="81" t="str">
        <f t="shared" si="12"/>
        <v/>
      </c>
      <c r="R7" s="89" t="str">
        <f t="shared" si="13"/>
        <v/>
      </c>
      <c r="S7" s="80">
        <f t="shared" si="16"/>
        <v>1</v>
      </c>
      <c r="T7" s="90">
        <f t="shared" si="14"/>
        <v>100</v>
      </c>
      <c r="U7" s="91">
        <f t="shared" si="15"/>
        <v>10000</v>
      </c>
      <c r="V7" s="116">
        <f t="shared" ref="V7:V8" si="18">(K7*(U7/S7))/T7</f>
        <v>96.172999999999988</v>
      </c>
    </row>
    <row r="8" spans="1:25" s="21" customFormat="1" ht="16.5" customHeight="1" x14ac:dyDescent="0.3">
      <c r="A8" s="80" t="s">
        <v>17</v>
      </c>
      <c r="B8" s="81" t="str">
        <f t="shared" si="0"/>
        <v>USD</v>
      </c>
      <c r="C8" s="82" t="str">
        <f t="shared" si="1"/>
        <v>JPY</v>
      </c>
      <c r="D8" s="83">
        <v>100000</v>
      </c>
      <c r="E8" s="84">
        <f t="shared" si="2"/>
        <v>0.01</v>
      </c>
      <c r="F8" s="83" t="b">
        <f t="shared" si="3"/>
        <v>1</v>
      </c>
      <c r="G8" s="85" t="b">
        <f t="shared" si="4"/>
        <v>1</v>
      </c>
      <c r="H8" s="85" t="str">
        <f t="shared" si="5"/>
        <v>TRUE</v>
      </c>
      <c r="I8" s="85" t="str">
        <f t="shared" si="6"/>
        <v>FALSE</v>
      </c>
      <c r="J8" s="86">
        <f>VLOOKUP(A8,'Data Feed'!$A$3:$E$30,3,FALSE)</f>
        <v>107.756</v>
      </c>
      <c r="K8" s="87">
        <f>VLOOKUP(A8,'Data Feed'!$A$3:$E$30,4,FALSE)</f>
        <v>107.756</v>
      </c>
      <c r="L8" s="88">
        <f t="shared" si="7"/>
        <v>9.2802256950889053</v>
      </c>
      <c r="M8" s="89" t="str">
        <f t="shared" si="8"/>
        <v/>
      </c>
      <c r="N8" s="89">
        <f t="shared" si="9"/>
        <v>9.2802256950889053</v>
      </c>
      <c r="O8" s="80" t="str">
        <f t="shared" si="10"/>
        <v/>
      </c>
      <c r="P8" s="86" t="str">
        <f t="shared" si="11"/>
        <v/>
      </c>
      <c r="Q8" s="81" t="str">
        <f t="shared" si="12"/>
        <v/>
      </c>
      <c r="R8" s="89" t="str">
        <f t="shared" si="13"/>
        <v/>
      </c>
      <c r="S8" s="80">
        <f t="shared" si="16"/>
        <v>100</v>
      </c>
      <c r="T8" s="90">
        <f t="shared" si="14"/>
        <v>100</v>
      </c>
      <c r="U8" s="91">
        <f t="shared" si="15"/>
        <v>10000</v>
      </c>
      <c r="V8" s="116">
        <f t="shared" si="18"/>
        <v>107.756</v>
      </c>
    </row>
    <row r="9" spans="1:25" s="21" customFormat="1" ht="16.5" customHeight="1" x14ac:dyDescent="0.3">
      <c r="A9" s="80" t="s">
        <v>16</v>
      </c>
      <c r="B9" s="81" t="str">
        <f t="shared" si="0"/>
        <v>AUD</v>
      </c>
      <c r="C9" s="82" t="str">
        <f t="shared" si="1"/>
        <v>CAD</v>
      </c>
      <c r="D9" s="83">
        <v>100000</v>
      </c>
      <c r="E9" s="84">
        <f t="shared" si="2"/>
        <v>1E-4</v>
      </c>
      <c r="F9" s="83" t="b">
        <f t="shared" si="3"/>
        <v>0</v>
      </c>
      <c r="G9" s="85" t="b">
        <f t="shared" si="4"/>
        <v>0</v>
      </c>
      <c r="H9" s="85" t="str">
        <f t="shared" si="5"/>
        <v>FALSE</v>
      </c>
      <c r="I9" s="85" t="str">
        <f t="shared" si="6"/>
        <v>FALSE</v>
      </c>
      <c r="J9" s="86">
        <f>VLOOKUP(A9,'Data Feed'!$A$3:$E$30,3,FALSE)</f>
        <v>0.92645999999999995</v>
      </c>
      <c r="K9" s="87">
        <f>VLOOKUP(A9,'Data Feed'!$A$3:$E$30,4,FALSE)</f>
        <v>0.92649999999999999</v>
      </c>
      <c r="L9" s="88">
        <f t="shared" si="7"/>
        <v>7.3982007575757578</v>
      </c>
      <c r="M9" s="89" t="str">
        <f t="shared" si="8"/>
        <v/>
      </c>
      <c r="N9" s="89" t="str">
        <f t="shared" si="9"/>
        <v/>
      </c>
      <c r="O9" s="80" t="str">
        <f t="shared" si="10"/>
        <v>USDCAD</v>
      </c>
      <c r="P9" s="86">
        <f t="shared" si="11"/>
        <v>1.35168</v>
      </c>
      <c r="Q9" s="81" t="str">
        <f t="shared" si="12"/>
        <v>ASK</v>
      </c>
      <c r="R9" s="89">
        <f t="shared" si="13"/>
        <v>7.3982007575757578</v>
      </c>
      <c r="S9" s="80">
        <f t="shared" si="16"/>
        <v>1</v>
      </c>
      <c r="T9" s="90">
        <f t="shared" si="14"/>
        <v>100</v>
      </c>
      <c r="U9" s="91">
        <f t="shared" si="15"/>
        <v>10000</v>
      </c>
      <c r="V9" s="116">
        <f>(P9*(U9/S9))/T9</f>
        <v>135.16800000000001</v>
      </c>
    </row>
    <row r="10" spans="1:25" s="21" customFormat="1" ht="16.5" customHeight="1" x14ac:dyDescent="0.3">
      <c r="A10" s="80" t="s">
        <v>32</v>
      </c>
      <c r="B10" s="81" t="str">
        <f t="shared" si="0"/>
        <v>AUD</v>
      </c>
      <c r="C10" s="82" t="str">
        <f t="shared" si="1"/>
        <v>CHF</v>
      </c>
      <c r="D10" s="83">
        <v>100000</v>
      </c>
      <c r="E10" s="84">
        <f t="shared" si="2"/>
        <v>1E-4</v>
      </c>
      <c r="F10" s="83" t="b">
        <f t="shared" si="3"/>
        <v>0</v>
      </c>
      <c r="G10" s="85" t="b">
        <f t="shared" si="4"/>
        <v>0</v>
      </c>
      <c r="H10" s="85" t="str">
        <f t="shared" si="5"/>
        <v>FALSE</v>
      </c>
      <c r="I10" s="85" t="str">
        <f t="shared" si="6"/>
        <v>FALSE</v>
      </c>
      <c r="J10" s="86">
        <f>VLOOKUP(A10,'Data Feed'!$A$3:$E$30,3,FALSE)</f>
        <v>0.65917000000000003</v>
      </c>
      <c r="K10" s="87">
        <f>VLOOKUP(A10,'Data Feed'!$A$3:$E$30,4,FALSE)</f>
        <v>0.65920999999999996</v>
      </c>
      <c r="L10" s="88">
        <f t="shared" si="7"/>
        <v>10.398144970937185</v>
      </c>
      <c r="M10" s="89" t="str">
        <f t="shared" si="8"/>
        <v/>
      </c>
      <c r="N10" s="89" t="str">
        <f t="shared" si="9"/>
        <v/>
      </c>
      <c r="O10" s="80" t="str">
        <f t="shared" si="10"/>
        <v>USDCHF</v>
      </c>
      <c r="P10" s="86">
        <f t="shared" si="11"/>
        <v>0.96170999999999995</v>
      </c>
      <c r="Q10" s="81" t="str">
        <f t="shared" si="12"/>
        <v>ASK</v>
      </c>
      <c r="R10" s="89">
        <f t="shared" si="13"/>
        <v>10.398144970937185</v>
      </c>
      <c r="S10" s="80">
        <f t="shared" si="16"/>
        <v>1</v>
      </c>
      <c r="T10" s="90">
        <f t="shared" si="14"/>
        <v>100</v>
      </c>
      <c r="U10" s="91">
        <f t="shared" si="15"/>
        <v>10000</v>
      </c>
      <c r="V10" s="116">
        <f t="shared" ref="V10:V29" si="19">(P10*(U10/S10))/T10</f>
        <v>96.171000000000006</v>
      </c>
    </row>
    <row r="11" spans="1:25" s="21" customFormat="1" ht="16.5" customHeight="1" x14ac:dyDescent="0.3">
      <c r="A11" s="80" t="s">
        <v>23</v>
      </c>
      <c r="B11" s="81" t="str">
        <f t="shared" si="0"/>
        <v>AUD</v>
      </c>
      <c r="C11" s="82" t="str">
        <f t="shared" si="1"/>
        <v>JPY</v>
      </c>
      <c r="D11" s="83">
        <v>100000</v>
      </c>
      <c r="E11" s="84">
        <f t="shared" si="2"/>
        <v>0.01</v>
      </c>
      <c r="F11" s="83" t="b">
        <f t="shared" si="3"/>
        <v>1</v>
      </c>
      <c r="G11" s="85" t="b">
        <f t="shared" si="4"/>
        <v>0</v>
      </c>
      <c r="H11" s="85" t="str">
        <f t="shared" si="5"/>
        <v>FALSE</v>
      </c>
      <c r="I11" s="85" t="str">
        <f t="shared" si="6"/>
        <v>FALSE</v>
      </c>
      <c r="J11" s="86">
        <f>VLOOKUP(A11,'Data Feed'!$A$3:$E$30,3,FALSE)</f>
        <v>73.855999999999995</v>
      </c>
      <c r="K11" s="87">
        <f>VLOOKUP(A11,'Data Feed'!$A$3:$E$30,4,FALSE)</f>
        <v>73.858999999999995</v>
      </c>
      <c r="L11" s="88">
        <f t="shared" si="7"/>
        <v>9.2802256950889053</v>
      </c>
      <c r="M11" s="89" t="str">
        <f t="shared" si="8"/>
        <v/>
      </c>
      <c r="N11" s="89" t="str">
        <f t="shared" si="9"/>
        <v/>
      </c>
      <c r="O11" s="80" t="str">
        <f t="shared" si="10"/>
        <v>USDJPY</v>
      </c>
      <c r="P11" s="86">
        <f t="shared" si="11"/>
        <v>107.756</v>
      </c>
      <c r="Q11" s="81" t="str">
        <f t="shared" si="12"/>
        <v>ASK</v>
      </c>
      <c r="R11" s="89">
        <f t="shared" si="13"/>
        <v>9.2802256950889053</v>
      </c>
      <c r="S11" s="80">
        <f t="shared" si="16"/>
        <v>100</v>
      </c>
      <c r="T11" s="90">
        <f t="shared" si="14"/>
        <v>100</v>
      </c>
      <c r="U11" s="91">
        <f t="shared" si="15"/>
        <v>10000</v>
      </c>
      <c r="V11" s="116">
        <f t="shared" si="19"/>
        <v>107.756</v>
      </c>
    </row>
    <row r="12" spans="1:25" s="21" customFormat="1" ht="16.5" customHeight="1" x14ac:dyDescent="0.3">
      <c r="A12" s="80" t="s">
        <v>31</v>
      </c>
      <c r="B12" s="81" t="str">
        <f t="shared" si="0"/>
        <v>CAD</v>
      </c>
      <c r="C12" s="82" t="str">
        <f t="shared" si="1"/>
        <v>CHF</v>
      </c>
      <c r="D12" s="83">
        <v>100000</v>
      </c>
      <c r="E12" s="84">
        <f t="shared" si="2"/>
        <v>1E-4</v>
      </c>
      <c r="F12" s="83" t="b">
        <f t="shared" si="3"/>
        <v>0</v>
      </c>
      <c r="G12" s="85" t="b">
        <f t="shared" si="4"/>
        <v>0</v>
      </c>
      <c r="H12" s="85" t="str">
        <f t="shared" si="5"/>
        <v>FALSE</v>
      </c>
      <c r="I12" s="85" t="str">
        <f t="shared" si="6"/>
        <v>FALSE</v>
      </c>
      <c r="J12" s="86">
        <f>VLOOKUP(A12,'Data Feed'!$A$3:$E$30,3,FALSE)</f>
        <v>0.71150000000000002</v>
      </c>
      <c r="K12" s="87">
        <f>VLOOKUP(A12,'Data Feed'!$A$3:$E$30,4,FALSE)</f>
        <v>0.71152000000000004</v>
      </c>
      <c r="L12" s="88">
        <f t="shared" si="7"/>
        <v>10.398144970937185</v>
      </c>
      <c r="M12" s="89" t="str">
        <f t="shared" si="8"/>
        <v/>
      </c>
      <c r="N12" s="89" t="str">
        <f t="shared" si="9"/>
        <v/>
      </c>
      <c r="O12" s="80" t="str">
        <f t="shared" si="10"/>
        <v>USDCHF</v>
      </c>
      <c r="P12" s="86">
        <f t="shared" si="11"/>
        <v>0.96170999999999995</v>
      </c>
      <c r="Q12" s="81" t="str">
        <f t="shared" si="12"/>
        <v>ASK</v>
      </c>
      <c r="R12" s="89">
        <f t="shared" si="13"/>
        <v>10.398144970937185</v>
      </c>
      <c r="S12" s="80">
        <f t="shared" si="16"/>
        <v>1</v>
      </c>
      <c r="T12" s="90">
        <f t="shared" si="14"/>
        <v>100</v>
      </c>
      <c r="U12" s="91">
        <f t="shared" si="15"/>
        <v>10000</v>
      </c>
      <c r="V12" s="116">
        <f t="shared" si="19"/>
        <v>96.171000000000006</v>
      </c>
    </row>
    <row r="13" spans="1:25" s="21" customFormat="1" ht="16.5" customHeight="1" x14ac:dyDescent="0.3">
      <c r="A13" s="80" t="s">
        <v>22</v>
      </c>
      <c r="B13" s="81" t="str">
        <f t="shared" si="0"/>
        <v>CAD</v>
      </c>
      <c r="C13" s="82" t="str">
        <f t="shared" si="1"/>
        <v>JPY</v>
      </c>
      <c r="D13" s="83">
        <v>100000</v>
      </c>
      <c r="E13" s="84">
        <f t="shared" si="2"/>
        <v>0.01</v>
      </c>
      <c r="F13" s="83" t="b">
        <f t="shared" si="3"/>
        <v>1</v>
      </c>
      <c r="G13" s="85" t="b">
        <f t="shared" si="4"/>
        <v>0</v>
      </c>
      <c r="H13" s="85" t="str">
        <f t="shared" si="5"/>
        <v>FALSE</v>
      </c>
      <c r="I13" s="85" t="str">
        <f t="shared" si="6"/>
        <v>FALSE</v>
      </c>
      <c r="J13" s="86">
        <f>VLOOKUP(A13,'Data Feed'!$A$3:$E$30,3,FALSE)</f>
        <v>79.716999999999999</v>
      </c>
      <c r="K13" s="87">
        <f>VLOOKUP(A13,'Data Feed'!$A$3:$E$30,4,FALSE)</f>
        <v>79.718999999999994</v>
      </c>
      <c r="L13" s="88">
        <f t="shared" si="7"/>
        <v>9.2802256950889053</v>
      </c>
      <c r="M13" s="89" t="str">
        <f t="shared" si="8"/>
        <v/>
      </c>
      <c r="N13" s="89" t="str">
        <f t="shared" si="9"/>
        <v/>
      </c>
      <c r="O13" s="80" t="str">
        <f t="shared" si="10"/>
        <v>USDJPY</v>
      </c>
      <c r="P13" s="86">
        <f t="shared" si="11"/>
        <v>107.756</v>
      </c>
      <c r="Q13" s="81" t="str">
        <f t="shared" si="12"/>
        <v>ASK</v>
      </c>
      <c r="R13" s="89">
        <f t="shared" si="13"/>
        <v>9.2802256950889053</v>
      </c>
      <c r="S13" s="80">
        <f t="shared" si="16"/>
        <v>100</v>
      </c>
      <c r="T13" s="90">
        <f t="shared" si="14"/>
        <v>100</v>
      </c>
      <c r="U13" s="91">
        <f t="shared" si="15"/>
        <v>10000</v>
      </c>
      <c r="V13" s="116">
        <f t="shared" si="19"/>
        <v>107.756</v>
      </c>
    </row>
    <row r="14" spans="1:25" s="21" customFormat="1" ht="16.5" customHeight="1" x14ac:dyDescent="0.3">
      <c r="A14" s="80" t="s">
        <v>21</v>
      </c>
      <c r="B14" s="81" t="str">
        <f t="shared" si="0"/>
        <v>CHF</v>
      </c>
      <c r="C14" s="82" t="str">
        <f t="shared" si="1"/>
        <v>JPY</v>
      </c>
      <c r="D14" s="83">
        <v>100000</v>
      </c>
      <c r="E14" s="84">
        <f t="shared" si="2"/>
        <v>0.01</v>
      </c>
      <c r="F14" s="83" t="b">
        <f t="shared" si="3"/>
        <v>1</v>
      </c>
      <c r="G14" s="85" t="b">
        <f t="shared" si="4"/>
        <v>0</v>
      </c>
      <c r="H14" s="85" t="str">
        <f t="shared" si="5"/>
        <v>FALSE</v>
      </c>
      <c r="I14" s="85" t="str">
        <f t="shared" si="6"/>
        <v>FALSE</v>
      </c>
      <c r="J14" s="86">
        <f>VLOOKUP(A14,'Data Feed'!$A$3:$E$30,3,FALSE)</f>
        <v>112.04</v>
      </c>
      <c r="K14" s="87">
        <f>VLOOKUP(A14,'Data Feed'!$A$3:$E$30,4,FALSE)</f>
        <v>112.04600000000001</v>
      </c>
      <c r="L14" s="88">
        <f t="shared" si="7"/>
        <v>9.2802256950889053</v>
      </c>
      <c r="M14" s="89" t="str">
        <f t="shared" si="8"/>
        <v/>
      </c>
      <c r="N14" s="89" t="str">
        <f t="shared" si="9"/>
        <v/>
      </c>
      <c r="O14" s="80" t="str">
        <f t="shared" si="10"/>
        <v>USDJPY</v>
      </c>
      <c r="P14" s="86">
        <f t="shared" si="11"/>
        <v>107.756</v>
      </c>
      <c r="Q14" s="81" t="str">
        <f t="shared" si="12"/>
        <v>ASK</v>
      </c>
      <c r="R14" s="89">
        <f t="shared" si="13"/>
        <v>9.2802256950889053</v>
      </c>
      <c r="S14" s="80">
        <f t="shared" si="16"/>
        <v>100</v>
      </c>
      <c r="T14" s="90">
        <f t="shared" si="14"/>
        <v>100</v>
      </c>
      <c r="U14" s="91">
        <f t="shared" si="15"/>
        <v>10000</v>
      </c>
      <c r="V14" s="116">
        <f t="shared" si="19"/>
        <v>107.756</v>
      </c>
    </row>
    <row r="15" spans="1:25" s="21" customFormat="1" ht="16.5" customHeight="1" x14ac:dyDescent="0.3">
      <c r="A15" s="80" t="s">
        <v>15</v>
      </c>
      <c r="B15" s="81" t="str">
        <f t="shared" si="0"/>
        <v>EUR</v>
      </c>
      <c r="C15" s="82" t="str">
        <f t="shared" si="1"/>
        <v>CAD</v>
      </c>
      <c r="D15" s="83">
        <v>100000</v>
      </c>
      <c r="E15" s="84">
        <f t="shared" si="2"/>
        <v>1E-4</v>
      </c>
      <c r="F15" s="83" t="b">
        <f t="shared" si="3"/>
        <v>0</v>
      </c>
      <c r="G15" s="85" t="b">
        <f t="shared" si="4"/>
        <v>0</v>
      </c>
      <c r="H15" s="85" t="str">
        <f t="shared" si="5"/>
        <v>FALSE</v>
      </c>
      <c r="I15" s="85" t="str">
        <f t="shared" si="6"/>
        <v>FALSE</v>
      </c>
      <c r="J15" s="86">
        <f>VLOOKUP(A15,'Data Feed'!$A$3:$E$30,3,FALSE)</f>
        <v>1.50963</v>
      </c>
      <c r="K15" s="87">
        <f>VLOOKUP(A15,'Data Feed'!$A$3:$E$30,4,FALSE)</f>
        <v>1.5097100000000001</v>
      </c>
      <c r="L15" s="88">
        <f t="shared" si="7"/>
        <v>7.3982007575757578</v>
      </c>
      <c r="M15" s="89" t="str">
        <f t="shared" si="8"/>
        <v/>
      </c>
      <c r="N15" s="89" t="str">
        <f t="shared" si="9"/>
        <v/>
      </c>
      <c r="O15" s="80" t="str">
        <f t="shared" si="10"/>
        <v>USDCAD</v>
      </c>
      <c r="P15" s="86">
        <f t="shared" si="11"/>
        <v>1.35168</v>
      </c>
      <c r="Q15" s="81" t="str">
        <f t="shared" si="12"/>
        <v>ASK</v>
      </c>
      <c r="R15" s="89">
        <f t="shared" si="13"/>
        <v>7.3982007575757578</v>
      </c>
      <c r="S15" s="80">
        <f t="shared" si="16"/>
        <v>1</v>
      </c>
      <c r="T15" s="90">
        <f t="shared" si="14"/>
        <v>100</v>
      </c>
      <c r="U15" s="91">
        <f t="shared" si="15"/>
        <v>10000</v>
      </c>
      <c r="V15" s="116">
        <f t="shared" si="19"/>
        <v>135.16800000000001</v>
      </c>
    </row>
    <row r="16" spans="1:25" s="21" customFormat="1" ht="16.5" customHeight="1" x14ac:dyDescent="0.3">
      <c r="A16" s="80" t="s">
        <v>30</v>
      </c>
      <c r="B16" s="81" t="str">
        <f t="shared" si="0"/>
        <v>EUR</v>
      </c>
      <c r="C16" s="82" t="str">
        <f t="shared" si="1"/>
        <v>CHF</v>
      </c>
      <c r="D16" s="83">
        <v>100000</v>
      </c>
      <c r="E16" s="84">
        <f t="shared" si="2"/>
        <v>1E-4</v>
      </c>
      <c r="F16" s="83" t="b">
        <f t="shared" si="3"/>
        <v>0</v>
      </c>
      <c r="G16" s="85" t="b">
        <f t="shared" si="4"/>
        <v>0</v>
      </c>
      <c r="H16" s="85" t="str">
        <f t="shared" si="5"/>
        <v>FALSE</v>
      </c>
      <c r="I16" s="85" t="str">
        <f t="shared" si="6"/>
        <v>FALSE</v>
      </c>
      <c r="J16" s="86">
        <f>VLOOKUP(A16,'Data Feed'!$A$3:$E$30,3,FALSE)</f>
        <v>1.0741099999999999</v>
      </c>
      <c r="K16" s="87">
        <f>VLOOKUP(A16,'Data Feed'!$A$3:$E$30,4,FALSE)</f>
        <v>1.0741400000000001</v>
      </c>
      <c r="L16" s="88">
        <f t="shared" si="7"/>
        <v>10.398144970937185</v>
      </c>
      <c r="M16" s="89" t="str">
        <f t="shared" si="8"/>
        <v/>
      </c>
      <c r="N16" s="89" t="str">
        <f t="shared" si="9"/>
        <v/>
      </c>
      <c r="O16" s="80" t="str">
        <f t="shared" si="10"/>
        <v>USDCHF</v>
      </c>
      <c r="P16" s="86">
        <f t="shared" si="11"/>
        <v>0.96170999999999995</v>
      </c>
      <c r="Q16" s="81" t="str">
        <f t="shared" si="12"/>
        <v>ASK</v>
      </c>
      <c r="R16" s="89">
        <f t="shared" si="13"/>
        <v>10.398144970937185</v>
      </c>
      <c r="S16" s="80">
        <f t="shared" si="16"/>
        <v>1</v>
      </c>
      <c r="T16" s="90">
        <f t="shared" si="14"/>
        <v>100</v>
      </c>
      <c r="U16" s="91">
        <f t="shared" si="15"/>
        <v>10000</v>
      </c>
      <c r="V16" s="116">
        <f t="shared" si="19"/>
        <v>96.171000000000006</v>
      </c>
    </row>
    <row r="17" spans="1:22" s="21" customFormat="1" ht="16.5" customHeight="1" x14ac:dyDescent="0.3">
      <c r="A17" s="80" t="s">
        <v>20</v>
      </c>
      <c r="B17" s="81" t="str">
        <f t="shared" si="0"/>
        <v>EUR</v>
      </c>
      <c r="C17" s="82" t="str">
        <f t="shared" si="1"/>
        <v>JPY</v>
      </c>
      <c r="D17" s="83">
        <v>100000</v>
      </c>
      <c r="E17" s="84">
        <f t="shared" si="2"/>
        <v>0.01</v>
      </c>
      <c r="F17" s="83" t="b">
        <f t="shared" si="3"/>
        <v>1</v>
      </c>
      <c r="G17" s="85" t="b">
        <f t="shared" si="4"/>
        <v>0</v>
      </c>
      <c r="H17" s="85" t="str">
        <f t="shared" si="5"/>
        <v>FALSE</v>
      </c>
      <c r="I17" s="85" t="str">
        <f t="shared" si="6"/>
        <v>FALSE</v>
      </c>
      <c r="J17" s="86">
        <f>VLOOKUP(A17,'Data Feed'!$A$3:$E$30,3,FALSE)</f>
        <v>120.34699999999999</v>
      </c>
      <c r="K17" s="87">
        <f>VLOOKUP(A17,'Data Feed'!$A$3:$E$30,4,FALSE)</f>
        <v>120.348</v>
      </c>
      <c r="L17" s="88">
        <f t="shared" si="7"/>
        <v>9.2802256950889053</v>
      </c>
      <c r="M17" s="89" t="str">
        <f t="shared" si="8"/>
        <v/>
      </c>
      <c r="N17" s="89" t="str">
        <f t="shared" si="9"/>
        <v/>
      </c>
      <c r="O17" s="80" t="str">
        <f t="shared" si="10"/>
        <v>USDJPY</v>
      </c>
      <c r="P17" s="86">
        <f t="shared" si="11"/>
        <v>107.756</v>
      </c>
      <c r="Q17" s="81" t="str">
        <f t="shared" si="12"/>
        <v>ASK</v>
      </c>
      <c r="R17" s="89">
        <f t="shared" si="13"/>
        <v>9.2802256950889053</v>
      </c>
      <c r="S17" s="80">
        <f t="shared" si="16"/>
        <v>100</v>
      </c>
      <c r="T17" s="90">
        <f t="shared" si="14"/>
        <v>100</v>
      </c>
      <c r="U17" s="91">
        <f t="shared" si="15"/>
        <v>10000</v>
      </c>
      <c r="V17" s="116">
        <f t="shared" si="19"/>
        <v>107.756</v>
      </c>
    </row>
    <row r="18" spans="1:22" s="21" customFormat="1" ht="16.5" customHeight="1" x14ac:dyDescent="0.3">
      <c r="A18" s="80" t="s">
        <v>14</v>
      </c>
      <c r="B18" s="81" t="str">
        <f t="shared" si="0"/>
        <v>GBP</v>
      </c>
      <c r="C18" s="82" t="str">
        <f t="shared" si="1"/>
        <v>CAD</v>
      </c>
      <c r="D18" s="83">
        <v>100000</v>
      </c>
      <c r="E18" s="84">
        <f t="shared" si="2"/>
        <v>1E-4</v>
      </c>
      <c r="F18" s="83" t="b">
        <f t="shared" si="3"/>
        <v>0</v>
      </c>
      <c r="G18" s="85" t="b">
        <f t="shared" si="4"/>
        <v>0</v>
      </c>
      <c r="H18" s="85" t="str">
        <f t="shared" si="5"/>
        <v>FALSE</v>
      </c>
      <c r="I18" s="85" t="str">
        <f t="shared" si="6"/>
        <v>FALSE</v>
      </c>
      <c r="J18" s="86">
        <f>VLOOKUP(A18,'Data Feed'!$A$3:$E$30,3,FALSE)</f>
        <v>1.69845</v>
      </c>
      <c r="K18" s="87">
        <f>VLOOKUP(A18,'Data Feed'!$A$3:$E$30,4,FALSE)</f>
        <v>1.69852</v>
      </c>
      <c r="L18" s="88">
        <f t="shared" si="7"/>
        <v>7.3982007575757578</v>
      </c>
      <c r="M18" s="89" t="str">
        <f t="shared" si="8"/>
        <v/>
      </c>
      <c r="N18" s="89" t="str">
        <f t="shared" si="9"/>
        <v/>
      </c>
      <c r="O18" s="80" t="str">
        <f t="shared" si="10"/>
        <v>USDCAD</v>
      </c>
      <c r="P18" s="86">
        <f t="shared" si="11"/>
        <v>1.35168</v>
      </c>
      <c r="Q18" s="81" t="str">
        <f t="shared" si="12"/>
        <v>ASK</v>
      </c>
      <c r="R18" s="89">
        <f t="shared" si="13"/>
        <v>7.3982007575757578</v>
      </c>
      <c r="S18" s="80">
        <f t="shared" si="16"/>
        <v>1</v>
      </c>
      <c r="T18" s="90">
        <f t="shared" si="14"/>
        <v>100</v>
      </c>
      <c r="U18" s="91">
        <f t="shared" si="15"/>
        <v>10000</v>
      </c>
      <c r="V18" s="116">
        <f t="shared" si="19"/>
        <v>135.16800000000001</v>
      </c>
    </row>
    <row r="19" spans="1:22" s="21" customFormat="1" ht="16.5" customHeight="1" x14ac:dyDescent="0.3">
      <c r="A19" s="80" t="s">
        <v>29</v>
      </c>
      <c r="B19" s="81" t="str">
        <f t="shared" si="0"/>
        <v>GBP</v>
      </c>
      <c r="C19" s="82" t="str">
        <f t="shared" si="1"/>
        <v>CHF</v>
      </c>
      <c r="D19" s="83">
        <v>100000</v>
      </c>
      <c r="E19" s="84">
        <f t="shared" si="2"/>
        <v>1E-4</v>
      </c>
      <c r="F19" s="83" t="b">
        <f t="shared" si="3"/>
        <v>0</v>
      </c>
      <c r="G19" s="85" t="b">
        <f t="shared" si="4"/>
        <v>0</v>
      </c>
      <c r="H19" s="85" t="str">
        <f t="shared" si="5"/>
        <v>FALSE</v>
      </c>
      <c r="I19" s="85" t="str">
        <f t="shared" si="6"/>
        <v>FALSE</v>
      </c>
      <c r="J19" s="86">
        <f>VLOOKUP(A19,'Data Feed'!$A$3:$E$30,3,FALSE)</f>
        <v>1.20844</v>
      </c>
      <c r="K19" s="87">
        <f>VLOOKUP(A19,'Data Feed'!$A$3:$E$30,4,FALSE)</f>
        <v>1.20852</v>
      </c>
      <c r="L19" s="88">
        <f t="shared" si="7"/>
        <v>10.398144970937185</v>
      </c>
      <c r="M19" s="89" t="str">
        <f t="shared" si="8"/>
        <v/>
      </c>
      <c r="N19" s="89" t="str">
        <f t="shared" si="9"/>
        <v/>
      </c>
      <c r="O19" s="80" t="str">
        <f t="shared" si="10"/>
        <v>USDCHF</v>
      </c>
      <c r="P19" s="86">
        <f t="shared" si="11"/>
        <v>0.96170999999999995</v>
      </c>
      <c r="Q19" s="81" t="str">
        <f t="shared" si="12"/>
        <v>ASK</v>
      </c>
      <c r="R19" s="89">
        <f t="shared" si="13"/>
        <v>10.398144970937185</v>
      </c>
      <c r="S19" s="80">
        <f t="shared" si="16"/>
        <v>1</v>
      </c>
      <c r="T19" s="90">
        <f t="shared" si="14"/>
        <v>100</v>
      </c>
      <c r="U19" s="91">
        <f t="shared" si="15"/>
        <v>10000</v>
      </c>
      <c r="V19" s="116">
        <f t="shared" si="19"/>
        <v>96.171000000000006</v>
      </c>
    </row>
    <row r="20" spans="1:22" s="21" customFormat="1" ht="16.5" customHeight="1" x14ac:dyDescent="0.3">
      <c r="A20" s="80" t="s">
        <v>19</v>
      </c>
      <c r="B20" s="81" t="str">
        <f t="shared" si="0"/>
        <v>GBP</v>
      </c>
      <c r="C20" s="82" t="str">
        <f t="shared" si="1"/>
        <v>JPY</v>
      </c>
      <c r="D20" s="83">
        <v>100000</v>
      </c>
      <c r="E20" s="84">
        <f t="shared" si="2"/>
        <v>0.01</v>
      </c>
      <c r="F20" s="83" t="b">
        <f t="shared" si="3"/>
        <v>1</v>
      </c>
      <c r="G20" s="85" t="b">
        <f t="shared" si="4"/>
        <v>0</v>
      </c>
      <c r="H20" s="85" t="str">
        <f t="shared" si="5"/>
        <v>FALSE</v>
      </c>
      <c r="I20" s="85" t="str">
        <f t="shared" si="6"/>
        <v>FALSE</v>
      </c>
      <c r="J20" s="86">
        <f>VLOOKUP(A20,'Data Feed'!$A$3:$E$30,3,FALSE)</f>
        <v>135.4</v>
      </c>
      <c r="K20" s="87">
        <f>VLOOKUP(A20,'Data Feed'!$A$3:$E$30,4,FALSE)</f>
        <v>135.40199999999999</v>
      </c>
      <c r="L20" s="88">
        <f t="shared" si="7"/>
        <v>9.2802256950889053</v>
      </c>
      <c r="M20" s="89" t="str">
        <f t="shared" si="8"/>
        <v/>
      </c>
      <c r="N20" s="89" t="str">
        <f t="shared" si="9"/>
        <v/>
      </c>
      <c r="O20" s="80" t="str">
        <f t="shared" si="10"/>
        <v>USDJPY</v>
      </c>
      <c r="P20" s="86">
        <f t="shared" si="11"/>
        <v>107.756</v>
      </c>
      <c r="Q20" s="81" t="str">
        <f t="shared" si="12"/>
        <v>ASK</v>
      </c>
      <c r="R20" s="89">
        <f t="shared" si="13"/>
        <v>9.2802256950889053</v>
      </c>
      <c r="S20" s="80">
        <f t="shared" si="16"/>
        <v>100</v>
      </c>
      <c r="T20" s="90">
        <f t="shared" si="14"/>
        <v>100</v>
      </c>
      <c r="U20" s="91">
        <f t="shared" si="15"/>
        <v>10000</v>
      </c>
      <c r="V20" s="116">
        <f t="shared" si="19"/>
        <v>107.756</v>
      </c>
    </row>
    <row r="21" spans="1:22" s="21" customFormat="1" ht="16.5" customHeight="1" x14ac:dyDescent="0.3">
      <c r="A21" s="80" t="s">
        <v>13</v>
      </c>
      <c r="B21" s="81" t="str">
        <f t="shared" si="0"/>
        <v>NZD</v>
      </c>
      <c r="C21" s="82" t="str">
        <f t="shared" si="1"/>
        <v>CAD</v>
      </c>
      <c r="D21" s="83">
        <v>100000</v>
      </c>
      <c r="E21" s="84">
        <f t="shared" si="2"/>
        <v>1E-4</v>
      </c>
      <c r="F21" s="83" t="b">
        <f t="shared" si="3"/>
        <v>0</v>
      </c>
      <c r="G21" s="85" t="b">
        <f t="shared" si="4"/>
        <v>0</v>
      </c>
      <c r="H21" s="85" t="str">
        <f t="shared" si="5"/>
        <v>FALSE</v>
      </c>
      <c r="I21" s="85" t="str">
        <f t="shared" si="6"/>
        <v>FALSE</v>
      </c>
      <c r="J21" s="86">
        <f>VLOOKUP(A21,'Data Feed'!$A$3:$E$30,3,FALSE)</f>
        <v>0.85346</v>
      </c>
      <c r="K21" s="87">
        <f>VLOOKUP(A21,'Data Feed'!$A$3:$E$30,4,FALSE)</f>
        <v>0.85353999999999997</v>
      </c>
      <c r="L21" s="88">
        <f t="shared" si="7"/>
        <v>7.3982007575757578</v>
      </c>
      <c r="M21" s="89" t="str">
        <f t="shared" si="8"/>
        <v/>
      </c>
      <c r="N21" s="89" t="str">
        <f t="shared" si="9"/>
        <v/>
      </c>
      <c r="O21" s="80" t="str">
        <f t="shared" si="10"/>
        <v>USDCAD</v>
      </c>
      <c r="P21" s="86">
        <f t="shared" si="11"/>
        <v>1.35168</v>
      </c>
      <c r="Q21" s="81" t="str">
        <f t="shared" si="12"/>
        <v>ASK</v>
      </c>
      <c r="R21" s="89">
        <f t="shared" si="13"/>
        <v>7.3982007575757578</v>
      </c>
      <c r="S21" s="80">
        <f t="shared" si="16"/>
        <v>1</v>
      </c>
      <c r="T21" s="90">
        <f t="shared" si="14"/>
        <v>100</v>
      </c>
      <c r="U21" s="91">
        <f t="shared" si="15"/>
        <v>10000</v>
      </c>
      <c r="V21" s="116">
        <f t="shared" si="19"/>
        <v>135.16800000000001</v>
      </c>
    </row>
    <row r="22" spans="1:22" s="21" customFormat="1" ht="16.5" customHeight="1" x14ac:dyDescent="0.3">
      <c r="A22" s="80" t="s">
        <v>28</v>
      </c>
      <c r="B22" s="81" t="str">
        <f t="shared" si="0"/>
        <v>NZD</v>
      </c>
      <c r="C22" s="82" t="str">
        <f t="shared" si="1"/>
        <v>CHF</v>
      </c>
      <c r="D22" s="83">
        <v>100000</v>
      </c>
      <c r="E22" s="84">
        <f t="shared" si="2"/>
        <v>1E-4</v>
      </c>
      <c r="F22" s="83" t="b">
        <f t="shared" si="3"/>
        <v>0</v>
      </c>
      <c r="G22" s="85" t="b">
        <f t="shared" si="4"/>
        <v>0</v>
      </c>
      <c r="H22" s="85" t="str">
        <f t="shared" si="5"/>
        <v>FALSE</v>
      </c>
      <c r="I22" s="85" t="str">
        <f t="shared" si="6"/>
        <v>FALSE</v>
      </c>
      <c r="J22" s="86">
        <f>VLOOKUP(A22,'Data Feed'!$A$3:$E$30,3,FALSE)</f>
        <v>0.60726999999999998</v>
      </c>
      <c r="K22" s="87">
        <f>VLOOKUP(A22,'Data Feed'!$A$3:$E$30,4,FALSE)</f>
        <v>0.60729</v>
      </c>
      <c r="L22" s="88">
        <f t="shared" si="7"/>
        <v>10.398144970937185</v>
      </c>
      <c r="M22" s="89" t="str">
        <f t="shared" si="8"/>
        <v/>
      </c>
      <c r="N22" s="89" t="str">
        <f t="shared" si="9"/>
        <v/>
      </c>
      <c r="O22" s="80" t="str">
        <f t="shared" si="10"/>
        <v>USDCHF</v>
      </c>
      <c r="P22" s="86">
        <f t="shared" si="11"/>
        <v>0.96170999999999995</v>
      </c>
      <c r="Q22" s="81" t="str">
        <f t="shared" si="12"/>
        <v>ASK</v>
      </c>
      <c r="R22" s="89">
        <f t="shared" si="13"/>
        <v>10.398144970937185</v>
      </c>
      <c r="S22" s="80">
        <f t="shared" si="16"/>
        <v>1</v>
      </c>
      <c r="T22" s="90">
        <f t="shared" si="14"/>
        <v>100</v>
      </c>
      <c r="U22" s="91">
        <f t="shared" si="15"/>
        <v>10000</v>
      </c>
      <c r="V22" s="116">
        <f t="shared" si="19"/>
        <v>96.171000000000006</v>
      </c>
    </row>
    <row r="23" spans="1:22" s="21" customFormat="1" ht="16.5" customHeight="1" x14ac:dyDescent="0.3">
      <c r="A23" s="80" t="s">
        <v>18</v>
      </c>
      <c r="B23" s="81" t="str">
        <f t="shared" si="0"/>
        <v>NZD</v>
      </c>
      <c r="C23" s="82" t="str">
        <f t="shared" si="1"/>
        <v>JPY</v>
      </c>
      <c r="D23" s="83">
        <v>100000</v>
      </c>
      <c r="E23" s="84">
        <f t="shared" si="2"/>
        <v>0.01</v>
      </c>
      <c r="F23" s="83" t="b">
        <f t="shared" si="3"/>
        <v>1</v>
      </c>
      <c r="G23" s="85" t="b">
        <f t="shared" si="4"/>
        <v>0</v>
      </c>
      <c r="H23" s="85" t="str">
        <f t="shared" si="5"/>
        <v>FALSE</v>
      </c>
      <c r="I23" s="85" t="str">
        <f t="shared" si="6"/>
        <v>FALSE</v>
      </c>
      <c r="J23" s="86">
        <f>VLOOKUP(A23,'Data Feed'!$A$3:$E$30,3,FALSE)</f>
        <v>68.039000000000001</v>
      </c>
      <c r="K23" s="87">
        <f>VLOOKUP(A23,'Data Feed'!$A$3:$E$30,4,FALSE)</f>
        <v>68.043000000000006</v>
      </c>
      <c r="L23" s="88">
        <f t="shared" si="7"/>
        <v>9.2802256950889053</v>
      </c>
      <c r="M23" s="89" t="str">
        <f t="shared" si="8"/>
        <v/>
      </c>
      <c r="N23" s="89" t="str">
        <f t="shared" si="9"/>
        <v/>
      </c>
      <c r="O23" s="80" t="str">
        <f t="shared" si="10"/>
        <v>USDJPY</v>
      </c>
      <c r="P23" s="86">
        <f t="shared" si="11"/>
        <v>107.756</v>
      </c>
      <c r="Q23" s="81" t="str">
        <f t="shared" si="12"/>
        <v>ASK</v>
      </c>
      <c r="R23" s="89">
        <f t="shared" si="13"/>
        <v>9.2802256950889053</v>
      </c>
      <c r="S23" s="80">
        <f t="shared" si="16"/>
        <v>100</v>
      </c>
      <c r="T23" s="90">
        <f t="shared" si="14"/>
        <v>100</v>
      </c>
      <c r="U23" s="91">
        <f t="shared" si="15"/>
        <v>10000</v>
      </c>
      <c r="V23" s="116">
        <f t="shared" si="19"/>
        <v>107.756</v>
      </c>
    </row>
    <row r="24" spans="1:22" s="21" customFormat="1" ht="16.5" customHeight="1" x14ac:dyDescent="0.3">
      <c r="A24" s="80" t="s">
        <v>9</v>
      </c>
      <c r="B24" s="81" t="str">
        <f t="shared" si="0"/>
        <v>AUD</v>
      </c>
      <c r="C24" s="82" t="str">
        <f t="shared" si="1"/>
        <v>NZD</v>
      </c>
      <c r="D24" s="83">
        <v>100000</v>
      </c>
      <c r="E24" s="84">
        <f t="shared" si="2"/>
        <v>1E-4</v>
      </c>
      <c r="F24" s="83" t="b">
        <f t="shared" si="3"/>
        <v>0</v>
      </c>
      <c r="G24" s="85" t="b">
        <f t="shared" si="4"/>
        <v>0</v>
      </c>
      <c r="H24" s="85" t="str">
        <f t="shared" si="5"/>
        <v>FALSE</v>
      </c>
      <c r="I24" s="85" t="str">
        <f t="shared" si="6"/>
        <v>FALSE</v>
      </c>
      <c r="J24" s="86">
        <f>VLOOKUP(A24,'Data Feed'!$A$3:$E$30,3,FALSE)</f>
        <v>1.08544</v>
      </c>
      <c r="K24" s="87">
        <f>VLOOKUP(A24,'Data Feed'!$A$3:$E$30,4,FALSE)</f>
        <v>1.08551</v>
      </c>
      <c r="L24" s="88">
        <f t="shared" si="7"/>
        <v>6.3143000000000002</v>
      </c>
      <c r="M24" s="89" t="str">
        <f t="shared" si="8"/>
        <v/>
      </c>
      <c r="N24" s="89" t="str">
        <f t="shared" si="9"/>
        <v/>
      </c>
      <c r="O24" s="80" t="str">
        <f t="shared" si="10"/>
        <v>NZDUSD</v>
      </c>
      <c r="P24" s="86">
        <f t="shared" si="11"/>
        <v>0.63143000000000005</v>
      </c>
      <c r="Q24" s="81" t="str">
        <f t="shared" si="12"/>
        <v>BID</v>
      </c>
      <c r="R24" s="89">
        <f t="shared" si="13"/>
        <v>6.3143000000000002</v>
      </c>
      <c r="S24" s="80">
        <f t="shared" si="16"/>
        <v>1</v>
      </c>
      <c r="T24" s="90">
        <f t="shared" si="14"/>
        <v>100</v>
      </c>
      <c r="U24" s="91">
        <f t="shared" si="15"/>
        <v>10000</v>
      </c>
      <c r="V24" s="116">
        <f t="shared" si="19"/>
        <v>63.143000000000001</v>
      </c>
    </row>
    <row r="25" spans="1:22" s="21" customFormat="1" ht="16.5" customHeight="1" x14ac:dyDescent="0.3">
      <c r="A25" s="80" t="s">
        <v>11</v>
      </c>
      <c r="B25" s="81" t="str">
        <f t="shared" si="0"/>
        <v>EUR</v>
      </c>
      <c r="C25" s="82" t="str">
        <f t="shared" si="1"/>
        <v>AUD</v>
      </c>
      <c r="D25" s="83">
        <v>100000</v>
      </c>
      <c r="E25" s="84">
        <f t="shared" si="2"/>
        <v>1E-4</v>
      </c>
      <c r="F25" s="83" t="b">
        <f t="shared" si="3"/>
        <v>0</v>
      </c>
      <c r="G25" s="85" t="b">
        <f t="shared" si="4"/>
        <v>0</v>
      </c>
      <c r="H25" s="85" t="str">
        <f t="shared" si="5"/>
        <v>FALSE</v>
      </c>
      <c r="I25" s="85" t="str">
        <f t="shared" si="6"/>
        <v>FALSE</v>
      </c>
      <c r="J25" s="86">
        <f>VLOOKUP(A25,'Data Feed'!$A$3:$E$30,3,FALSE)</f>
        <v>1.62944</v>
      </c>
      <c r="K25" s="87">
        <f>VLOOKUP(A25,'Data Feed'!$A$3:$E$30,4,FALSE)</f>
        <v>1.6294900000000001</v>
      </c>
      <c r="L25" s="88">
        <f t="shared" si="7"/>
        <v>6.8543000000000003</v>
      </c>
      <c r="M25" s="89" t="str">
        <f t="shared" si="8"/>
        <v/>
      </c>
      <c r="N25" s="89" t="str">
        <f t="shared" si="9"/>
        <v/>
      </c>
      <c r="O25" s="80" t="str">
        <f t="shared" si="10"/>
        <v>AUDUSD</v>
      </c>
      <c r="P25" s="86">
        <f t="shared" si="11"/>
        <v>0.68542999999999998</v>
      </c>
      <c r="Q25" s="81" t="str">
        <f t="shared" si="12"/>
        <v>BID</v>
      </c>
      <c r="R25" s="89">
        <f t="shared" si="13"/>
        <v>6.8543000000000003</v>
      </c>
      <c r="S25" s="80">
        <f t="shared" si="16"/>
        <v>1</v>
      </c>
      <c r="T25" s="90">
        <f t="shared" si="14"/>
        <v>100</v>
      </c>
      <c r="U25" s="91">
        <f t="shared" si="15"/>
        <v>10000</v>
      </c>
      <c r="V25" s="116">
        <f t="shared" si="19"/>
        <v>68.543000000000006</v>
      </c>
    </row>
    <row r="26" spans="1:22" s="21" customFormat="1" ht="16.5" customHeight="1" x14ac:dyDescent="0.3">
      <c r="A26" s="80" t="s">
        <v>33</v>
      </c>
      <c r="B26" s="81" t="str">
        <f t="shared" si="0"/>
        <v>EUR</v>
      </c>
      <c r="C26" s="82" t="str">
        <f t="shared" si="1"/>
        <v>GBP</v>
      </c>
      <c r="D26" s="83">
        <v>100000</v>
      </c>
      <c r="E26" s="84">
        <f t="shared" si="2"/>
        <v>1E-4</v>
      </c>
      <c r="F26" s="83" t="b">
        <f t="shared" si="3"/>
        <v>0</v>
      </c>
      <c r="G26" s="85" t="b">
        <f t="shared" si="4"/>
        <v>0</v>
      </c>
      <c r="H26" s="85" t="str">
        <f t="shared" si="5"/>
        <v>FALSE</v>
      </c>
      <c r="I26" s="85" t="str">
        <f t="shared" si="6"/>
        <v>FALSE</v>
      </c>
      <c r="J26" s="86">
        <f>VLOOKUP(A26,'Data Feed'!$A$3:$E$30,3,FALSE)</f>
        <v>0.88883999999999996</v>
      </c>
      <c r="K26" s="87">
        <f>VLOOKUP(A26,'Data Feed'!$A$3:$E$30,4,FALSE)</f>
        <v>0.88885999999999998</v>
      </c>
      <c r="L26" s="88">
        <f t="shared" si="7"/>
        <v>12.5656</v>
      </c>
      <c r="M26" s="89" t="str">
        <f t="shared" si="8"/>
        <v/>
      </c>
      <c r="N26" s="89" t="str">
        <f t="shared" si="9"/>
        <v/>
      </c>
      <c r="O26" s="80" t="str">
        <f t="shared" si="10"/>
        <v>GBPUSD</v>
      </c>
      <c r="P26" s="86">
        <f t="shared" si="11"/>
        <v>1.2565599999999999</v>
      </c>
      <c r="Q26" s="81" t="str">
        <f t="shared" si="12"/>
        <v>BID</v>
      </c>
      <c r="R26" s="89">
        <f t="shared" si="13"/>
        <v>12.5656</v>
      </c>
      <c r="S26" s="80">
        <f t="shared" si="16"/>
        <v>1</v>
      </c>
      <c r="T26" s="90">
        <f t="shared" si="14"/>
        <v>100</v>
      </c>
      <c r="U26" s="91">
        <f t="shared" si="15"/>
        <v>10000</v>
      </c>
      <c r="V26" s="116">
        <f t="shared" si="19"/>
        <v>125.65599999999999</v>
      </c>
    </row>
    <row r="27" spans="1:22" s="21" customFormat="1" ht="16.5" customHeight="1" x14ac:dyDescent="0.3">
      <c r="A27" s="80" t="s">
        <v>8</v>
      </c>
      <c r="B27" s="81" t="str">
        <f t="shared" si="0"/>
        <v>EUR</v>
      </c>
      <c r="C27" s="82" t="str">
        <f t="shared" si="1"/>
        <v>NZD</v>
      </c>
      <c r="D27" s="83">
        <v>100000</v>
      </c>
      <c r="E27" s="84">
        <f t="shared" si="2"/>
        <v>1E-4</v>
      </c>
      <c r="F27" s="83" t="b">
        <f t="shared" si="3"/>
        <v>0</v>
      </c>
      <c r="G27" s="85" t="b">
        <f t="shared" si="4"/>
        <v>0</v>
      </c>
      <c r="H27" s="85" t="str">
        <f t="shared" si="5"/>
        <v>FALSE</v>
      </c>
      <c r="I27" s="85" t="str">
        <f t="shared" si="6"/>
        <v>FALSE</v>
      </c>
      <c r="J27" s="86">
        <f>VLOOKUP(A27,'Data Feed'!$A$3:$E$30,3,FALSE)</f>
        <v>1.76874</v>
      </c>
      <c r="K27" s="87">
        <f>VLOOKUP(A27,'Data Feed'!$A$3:$E$30,4,FALSE)</f>
        <v>1.7687999999999999</v>
      </c>
      <c r="L27" s="88">
        <f t="shared" si="7"/>
        <v>6.3143000000000002</v>
      </c>
      <c r="M27" s="89" t="str">
        <f t="shared" si="8"/>
        <v/>
      </c>
      <c r="N27" s="89" t="str">
        <f t="shared" si="9"/>
        <v/>
      </c>
      <c r="O27" s="80" t="str">
        <f t="shared" si="10"/>
        <v>NZDUSD</v>
      </c>
      <c r="P27" s="86">
        <f t="shared" si="11"/>
        <v>0.63143000000000005</v>
      </c>
      <c r="Q27" s="81" t="str">
        <f t="shared" si="12"/>
        <v>BID</v>
      </c>
      <c r="R27" s="89">
        <f t="shared" si="13"/>
        <v>6.3143000000000002</v>
      </c>
      <c r="S27" s="80">
        <f t="shared" si="16"/>
        <v>1</v>
      </c>
      <c r="T27" s="90">
        <f t="shared" si="14"/>
        <v>100</v>
      </c>
      <c r="U27" s="91">
        <f t="shared" si="15"/>
        <v>10000</v>
      </c>
      <c r="V27" s="116">
        <f t="shared" si="19"/>
        <v>63.143000000000001</v>
      </c>
    </row>
    <row r="28" spans="1:22" s="21" customFormat="1" ht="16.5" customHeight="1" x14ac:dyDescent="0.3">
      <c r="A28" s="80" t="s">
        <v>10</v>
      </c>
      <c r="B28" s="81" t="str">
        <f t="shared" si="0"/>
        <v>GBP</v>
      </c>
      <c r="C28" s="82" t="str">
        <f t="shared" si="1"/>
        <v>AUD</v>
      </c>
      <c r="D28" s="83">
        <v>100000</v>
      </c>
      <c r="E28" s="84">
        <f t="shared" si="2"/>
        <v>1E-4</v>
      </c>
      <c r="F28" s="83" t="b">
        <f t="shared" si="3"/>
        <v>0</v>
      </c>
      <c r="G28" s="85" t="b">
        <f t="shared" si="4"/>
        <v>0</v>
      </c>
      <c r="H28" s="85" t="str">
        <f t="shared" si="5"/>
        <v>FALSE</v>
      </c>
      <c r="I28" s="85" t="str">
        <f t="shared" si="6"/>
        <v>FALSE</v>
      </c>
      <c r="J28" s="86">
        <f>VLOOKUP(A28,'Data Feed'!$A$3:$E$30,3,FALSE)</f>
        <v>1.8332299999999999</v>
      </c>
      <c r="K28" s="87">
        <f>VLOOKUP(A28,'Data Feed'!$A$3:$E$30,4,FALSE)</f>
        <v>1.8333299999999999</v>
      </c>
      <c r="L28" s="88">
        <f t="shared" si="7"/>
        <v>6.8543000000000003</v>
      </c>
      <c r="M28" s="89" t="str">
        <f t="shared" si="8"/>
        <v/>
      </c>
      <c r="N28" s="89" t="str">
        <f t="shared" si="9"/>
        <v/>
      </c>
      <c r="O28" s="80" t="str">
        <f t="shared" si="10"/>
        <v>AUDUSD</v>
      </c>
      <c r="P28" s="86">
        <f t="shared" si="11"/>
        <v>0.68542999999999998</v>
      </c>
      <c r="Q28" s="81" t="str">
        <f t="shared" si="12"/>
        <v>BID</v>
      </c>
      <c r="R28" s="89">
        <f t="shared" si="13"/>
        <v>6.8543000000000003</v>
      </c>
      <c r="S28" s="80">
        <f t="shared" si="16"/>
        <v>1</v>
      </c>
      <c r="T28" s="90">
        <f t="shared" si="14"/>
        <v>100</v>
      </c>
      <c r="U28" s="91">
        <f t="shared" si="15"/>
        <v>10000</v>
      </c>
      <c r="V28" s="116">
        <f t="shared" si="19"/>
        <v>68.543000000000006</v>
      </c>
    </row>
    <row r="29" spans="1:22" s="21" customFormat="1" ht="16.5" customHeight="1" x14ac:dyDescent="0.3">
      <c r="A29" s="80" t="s">
        <v>7</v>
      </c>
      <c r="B29" s="81" t="str">
        <f t="shared" si="0"/>
        <v>GBP</v>
      </c>
      <c r="C29" s="82" t="str">
        <f t="shared" si="1"/>
        <v>NZD</v>
      </c>
      <c r="D29" s="83">
        <v>100000</v>
      </c>
      <c r="E29" s="84">
        <f t="shared" si="2"/>
        <v>1E-4</v>
      </c>
      <c r="F29" s="83" t="b">
        <f t="shared" si="3"/>
        <v>0</v>
      </c>
      <c r="G29" s="85" t="b">
        <f t="shared" si="4"/>
        <v>0</v>
      </c>
      <c r="H29" s="85" t="str">
        <f t="shared" si="5"/>
        <v>FALSE</v>
      </c>
      <c r="I29" s="85" t="str">
        <f t="shared" si="6"/>
        <v>FALSE</v>
      </c>
      <c r="J29" s="86">
        <f>VLOOKUP(A29,'Data Feed'!$A$3:$E$30,3,FALSE)</f>
        <v>1.9899100000000001</v>
      </c>
      <c r="K29" s="87">
        <f>VLOOKUP(A29,'Data Feed'!$A$3:$E$30,4,FALSE)</f>
        <v>1.9901</v>
      </c>
      <c r="L29" s="88">
        <f t="shared" si="7"/>
        <v>6.3143000000000002</v>
      </c>
      <c r="M29" s="89" t="str">
        <f t="shared" si="8"/>
        <v/>
      </c>
      <c r="N29" s="89" t="str">
        <f t="shared" si="9"/>
        <v/>
      </c>
      <c r="O29" s="80" t="str">
        <f t="shared" si="10"/>
        <v>NZDUSD</v>
      </c>
      <c r="P29" s="86">
        <f t="shared" si="11"/>
        <v>0.63143000000000005</v>
      </c>
      <c r="Q29" s="81" t="str">
        <f t="shared" si="12"/>
        <v>BID</v>
      </c>
      <c r="R29" s="89">
        <f t="shared" si="13"/>
        <v>6.3143000000000002</v>
      </c>
      <c r="S29" s="80">
        <f t="shared" si="16"/>
        <v>1</v>
      </c>
      <c r="T29" s="90">
        <f t="shared" si="14"/>
        <v>100</v>
      </c>
      <c r="U29" s="91">
        <f t="shared" si="15"/>
        <v>10000</v>
      </c>
      <c r="V29" s="116">
        <f t="shared" si="19"/>
        <v>63.143000000000001</v>
      </c>
    </row>
    <row r="30" spans="1:22" ht="16.5" customHeight="1" x14ac:dyDescent="0.3">
      <c r="A30" s="2"/>
      <c r="B30" s="3"/>
      <c r="C30" s="4"/>
      <c r="D30" s="5"/>
      <c r="E30" s="6"/>
      <c r="F30" s="5"/>
      <c r="G30" s="7"/>
      <c r="H30" s="7"/>
      <c r="I30" s="7"/>
      <c r="K30" s="9"/>
    </row>
    <row r="31" spans="1:22" ht="16.5" customHeight="1" x14ac:dyDescent="0.3">
      <c r="A31" s="319" t="s">
        <v>105</v>
      </c>
      <c r="B31" s="319"/>
      <c r="C31" s="319"/>
      <c r="D31" s="319"/>
      <c r="E31" s="319"/>
      <c r="F31" s="319"/>
      <c r="G31" s="319"/>
      <c r="H31" s="319"/>
      <c r="I31" s="319"/>
      <c r="J31" s="319"/>
      <c r="K31" s="319"/>
      <c r="L31" s="319"/>
      <c r="M31" s="319"/>
      <c r="N31" s="319"/>
      <c r="O31" s="319"/>
      <c r="P31" s="319"/>
      <c r="Q31" s="319"/>
      <c r="R31" s="319"/>
      <c r="S31" s="319"/>
      <c r="T31" s="319"/>
      <c r="U31" s="319"/>
      <c r="V31" s="319"/>
    </row>
    <row r="32" spans="1:22" ht="16.5" customHeight="1" x14ac:dyDescent="0.3">
      <c r="A32" s="2"/>
      <c r="B32" s="3"/>
      <c r="C32" s="4"/>
      <c r="D32" s="5"/>
      <c r="E32" s="6"/>
      <c r="F32" s="5"/>
      <c r="G32" s="7"/>
      <c r="H32" s="7"/>
      <c r="I32" s="7"/>
      <c r="K32" s="9"/>
    </row>
    <row r="33" spans="1:22" s="13" customFormat="1" ht="16.5" customHeight="1" x14ac:dyDescent="0.3">
      <c r="A33" s="2"/>
      <c r="B33" s="3"/>
      <c r="C33" s="4"/>
      <c r="D33" s="5"/>
      <c r="E33" s="6"/>
      <c r="F33" s="5"/>
      <c r="G33" s="7"/>
      <c r="H33" s="7"/>
      <c r="I33" s="7"/>
      <c r="J33" s="8"/>
      <c r="K33" s="9"/>
      <c r="L33" s="10"/>
      <c r="M33" s="11"/>
      <c r="N33" s="11"/>
      <c r="O33" s="1"/>
      <c r="P33" s="8"/>
      <c r="Q33" s="12"/>
      <c r="R33" s="11"/>
      <c r="S33" s="1"/>
      <c r="T33" s="1"/>
      <c r="U33" s="1"/>
      <c r="V33" s="16"/>
    </row>
    <row r="34" spans="1:22" s="13" customFormat="1" ht="16.5" customHeight="1" x14ac:dyDescent="0.3">
      <c r="A34" s="2"/>
      <c r="B34" s="3"/>
      <c r="C34" s="4"/>
      <c r="D34" s="5"/>
      <c r="E34" s="6"/>
      <c r="F34" s="5"/>
      <c r="G34" s="7"/>
      <c r="H34" s="7"/>
      <c r="I34" s="7"/>
      <c r="J34" s="8"/>
      <c r="K34" s="9"/>
      <c r="L34" s="10"/>
      <c r="M34" s="11"/>
      <c r="N34" s="11"/>
      <c r="O34" s="1"/>
      <c r="P34" s="8"/>
      <c r="Q34" s="12"/>
      <c r="R34" s="11"/>
      <c r="S34" s="1"/>
      <c r="T34" s="1"/>
      <c r="U34" s="1"/>
      <c r="V34" s="16"/>
    </row>
    <row r="35" spans="1:22" s="13" customFormat="1" ht="16.5" customHeight="1" x14ac:dyDescent="0.3">
      <c r="A35" s="2"/>
      <c r="B35" s="3"/>
      <c r="C35" s="4"/>
      <c r="D35" s="5"/>
      <c r="E35" s="6"/>
      <c r="F35" s="5"/>
      <c r="G35" s="7"/>
      <c r="H35" s="7"/>
      <c r="I35" s="7"/>
      <c r="J35" s="8"/>
      <c r="K35" s="9"/>
      <c r="L35" s="10"/>
      <c r="M35" s="11"/>
      <c r="N35" s="11"/>
      <c r="O35" s="1"/>
      <c r="P35" s="8"/>
      <c r="Q35" s="12"/>
      <c r="R35" s="11"/>
      <c r="S35" s="1"/>
      <c r="T35" s="1"/>
      <c r="U35" s="1"/>
      <c r="V35" s="16"/>
    </row>
    <row r="36" spans="1:22" s="13" customFormat="1" ht="16.5" customHeight="1" x14ac:dyDescent="0.3">
      <c r="A36" s="2"/>
      <c r="B36" s="3"/>
      <c r="C36" s="4"/>
      <c r="D36" s="5"/>
      <c r="E36" s="6"/>
      <c r="F36" s="5"/>
      <c r="G36" s="7"/>
      <c r="H36" s="7"/>
      <c r="I36" s="7"/>
      <c r="J36" s="8"/>
      <c r="K36" s="9"/>
      <c r="L36" s="10"/>
      <c r="M36" s="11"/>
      <c r="N36" s="11"/>
      <c r="O36" s="1"/>
      <c r="P36" s="8"/>
      <c r="Q36" s="12"/>
      <c r="R36" s="11"/>
      <c r="S36" s="1"/>
      <c r="T36" s="1"/>
      <c r="U36" s="1"/>
      <c r="V36" s="16"/>
    </row>
    <row r="37" spans="1:22" s="13" customFormat="1" ht="16.5" customHeight="1" x14ac:dyDescent="0.3">
      <c r="A37" s="2"/>
      <c r="B37" s="3"/>
      <c r="C37" s="4"/>
      <c r="D37" s="5"/>
      <c r="E37" s="6"/>
      <c r="F37" s="5"/>
      <c r="G37" s="7"/>
      <c r="H37" s="7"/>
      <c r="I37" s="7"/>
      <c r="J37" s="8"/>
      <c r="K37" s="9"/>
      <c r="L37" s="10"/>
      <c r="M37" s="11"/>
      <c r="N37" s="11"/>
      <c r="O37" s="1"/>
      <c r="P37" s="8"/>
      <c r="Q37" s="12"/>
      <c r="R37" s="11"/>
      <c r="S37" s="1"/>
      <c r="T37" s="1"/>
      <c r="U37" s="1"/>
      <c r="V37" s="16"/>
    </row>
    <row r="38" spans="1:22" s="13" customFormat="1" ht="16.5" customHeight="1" x14ac:dyDescent="0.3">
      <c r="A38" s="2"/>
      <c r="B38" s="3"/>
      <c r="C38" s="4"/>
      <c r="D38" s="5"/>
      <c r="E38" s="6"/>
      <c r="F38" s="5"/>
      <c r="G38" s="7"/>
      <c r="H38" s="7"/>
      <c r="I38" s="7"/>
      <c r="J38" s="8"/>
      <c r="K38" s="9"/>
      <c r="L38" s="10"/>
      <c r="M38" s="11"/>
      <c r="N38" s="11"/>
      <c r="O38" s="1"/>
      <c r="P38" s="8"/>
      <c r="Q38" s="12"/>
      <c r="R38" s="11"/>
      <c r="S38" s="1"/>
      <c r="T38" s="1"/>
      <c r="U38" s="1"/>
      <c r="V38" s="16"/>
    </row>
    <row r="39" spans="1:22" s="13" customFormat="1" ht="16.5" customHeight="1" x14ac:dyDescent="0.3">
      <c r="A39" s="2"/>
      <c r="B39" s="3"/>
      <c r="C39" s="4"/>
      <c r="D39" s="5"/>
      <c r="E39" s="6"/>
      <c r="F39" s="5"/>
      <c r="G39" s="7"/>
      <c r="H39" s="7"/>
      <c r="I39" s="7"/>
      <c r="J39" s="8"/>
      <c r="K39" s="9"/>
      <c r="L39" s="10"/>
      <c r="M39" s="11"/>
      <c r="N39" s="11"/>
      <c r="O39" s="1"/>
      <c r="P39" s="8"/>
      <c r="Q39" s="12"/>
      <c r="R39" s="11"/>
      <c r="S39" s="1"/>
      <c r="T39" s="1"/>
      <c r="U39" s="1"/>
      <c r="V39" s="16"/>
    </row>
    <row r="40" spans="1:22" s="13" customFormat="1" ht="16.5" customHeight="1" x14ac:dyDescent="0.3">
      <c r="A40" s="2"/>
      <c r="B40" s="3"/>
      <c r="C40" s="4"/>
      <c r="D40" s="5"/>
      <c r="E40" s="6"/>
      <c r="F40" s="5"/>
      <c r="G40" s="7"/>
      <c r="H40" s="7"/>
      <c r="I40" s="7"/>
      <c r="J40" s="8"/>
      <c r="K40" s="9"/>
      <c r="L40" s="10"/>
      <c r="M40" s="11"/>
      <c r="N40" s="11"/>
      <c r="O40" s="1"/>
      <c r="P40" s="8"/>
      <c r="Q40" s="12"/>
      <c r="R40" s="11"/>
      <c r="S40" s="1"/>
      <c r="T40" s="1"/>
      <c r="U40" s="1"/>
      <c r="V40" s="16"/>
    </row>
    <row r="41" spans="1:22" s="13" customFormat="1" ht="16.5" customHeight="1" x14ac:dyDescent="0.3">
      <c r="A41" s="2"/>
      <c r="B41" s="3"/>
      <c r="C41" s="4"/>
      <c r="D41" s="5"/>
      <c r="E41" s="6"/>
      <c r="F41" s="5"/>
      <c r="G41" s="7"/>
      <c r="H41" s="7"/>
      <c r="I41" s="7"/>
      <c r="J41" s="8"/>
      <c r="K41" s="9"/>
      <c r="L41" s="10"/>
      <c r="M41" s="11"/>
      <c r="N41" s="11"/>
      <c r="O41" s="1"/>
      <c r="P41" s="8"/>
      <c r="Q41" s="12"/>
      <c r="R41" s="11"/>
      <c r="S41" s="1"/>
      <c r="T41" s="1"/>
      <c r="U41" s="1"/>
      <c r="V41" s="16"/>
    </row>
    <row r="42" spans="1:22" s="13" customFormat="1" ht="16.5" customHeight="1" x14ac:dyDescent="0.3">
      <c r="A42" s="2"/>
      <c r="B42" s="3"/>
      <c r="C42" s="4"/>
      <c r="D42" s="5"/>
      <c r="E42" s="6"/>
      <c r="F42" s="5"/>
      <c r="G42" s="7"/>
      <c r="H42" s="7"/>
      <c r="I42" s="7"/>
      <c r="J42" s="8"/>
      <c r="K42" s="9"/>
      <c r="L42" s="10"/>
      <c r="M42" s="11"/>
      <c r="N42" s="11"/>
      <c r="O42" s="1"/>
      <c r="P42" s="8"/>
      <c r="Q42" s="12"/>
      <c r="R42" s="11"/>
      <c r="S42" s="1"/>
      <c r="T42" s="1"/>
      <c r="U42" s="1"/>
      <c r="V42" s="16"/>
    </row>
    <row r="43" spans="1:22" s="13" customFormat="1" ht="16.5" customHeight="1" x14ac:dyDescent="0.3">
      <c r="A43" s="2"/>
      <c r="B43" s="3"/>
      <c r="C43" s="4"/>
      <c r="D43" s="5"/>
      <c r="E43" s="6"/>
      <c r="F43" s="5"/>
      <c r="G43" s="7"/>
      <c r="H43" s="7"/>
      <c r="I43" s="7"/>
      <c r="J43" s="8"/>
      <c r="K43" s="9"/>
      <c r="L43" s="10"/>
      <c r="M43" s="11"/>
      <c r="N43" s="11"/>
      <c r="O43" s="1"/>
      <c r="P43" s="8"/>
      <c r="Q43" s="12"/>
      <c r="R43" s="11"/>
      <c r="S43" s="1"/>
      <c r="T43" s="1"/>
      <c r="U43" s="1"/>
      <c r="V43" s="16"/>
    </row>
    <row r="44" spans="1:22" s="13" customFormat="1" ht="16.5" customHeight="1" x14ac:dyDescent="0.3">
      <c r="A44" s="2"/>
      <c r="B44" s="3"/>
      <c r="C44" s="4"/>
      <c r="D44" s="5"/>
      <c r="E44" s="6"/>
      <c r="F44" s="5"/>
      <c r="G44" s="7"/>
      <c r="H44" s="7"/>
      <c r="I44" s="7"/>
      <c r="J44" s="8"/>
      <c r="K44" s="9"/>
      <c r="L44" s="10"/>
      <c r="M44" s="11"/>
      <c r="N44" s="11"/>
      <c r="O44" s="1"/>
      <c r="P44" s="8"/>
      <c r="Q44" s="12"/>
      <c r="R44" s="11"/>
      <c r="S44" s="1"/>
      <c r="T44" s="1"/>
      <c r="U44" s="1"/>
      <c r="V44" s="16"/>
    </row>
    <row r="45" spans="1:22" s="13" customFormat="1" ht="16.5" customHeight="1" x14ac:dyDescent="0.3">
      <c r="A45" s="2"/>
      <c r="B45" s="3"/>
      <c r="C45" s="4"/>
      <c r="D45" s="5"/>
      <c r="E45" s="6"/>
      <c r="F45" s="5"/>
      <c r="G45" s="7"/>
      <c r="H45" s="7"/>
      <c r="I45" s="7"/>
      <c r="J45" s="8"/>
      <c r="K45" s="9"/>
      <c r="L45" s="10"/>
      <c r="M45" s="11"/>
      <c r="N45" s="11"/>
      <c r="O45" s="1"/>
      <c r="P45" s="8"/>
      <c r="Q45" s="12"/>
      <c r="R45" s="11"/>
      <c r="S45" s="1"/>
      <c r="T45" s="1"/>
      <c r="U45" s="1"/>
      <c r="V45" s="16"/>
    </row>
    <row r="46" spans="1:22" s="13" customFormat="1" ht="16.5" customHeight="1" x14ac:dyDescent="0.3">
      <c r="A46" s="2"/>
      <c r="B46" s="3"/>
      <c r="C46" s="4"/>
      <c r="D46" s="5"/>
      <c r="E46" s="6"/>
      <c r="F46" s="5"/>
      <c r="G46" s="7"/>
      <c r="H46" s="7"/>
      <c r="I46" s="7"/>
      <c r="J46" s="8"/>
      <c r="K46" s="9"/>
      <c r="L46" s="10"/>
      <c r="M46" s="11"/>
      <c r="N46" s="11"/>
      <c r="O46" s="1"/>
      <c r="P46" s="8"/>
      <c r="Q46" s="12"/>
      <c r="R46" s="11"/>
      <c r="S46" s="1"/>
      <c r="T46" s="1"/>
      <c r="U46" s="1"/>
      <c r="V46" s="16"/>
    </row>
    <row r="47" spans="1:22" s="13" customFormat="1" ht="16.5" customHeight="1" x14ac:dyDescent="0.3">
      <c r="A47" s="2"/>
      <c r="B47" s="3"/>
      <c r="C47" s="4"/>
      <c r="D47" s="5"/>
      <c r="E47" s="6"/>
      <c r="F47" s="5"/>
      <c r="G47" s="7"/>
      <c r="H47" s="7"/>
      <c r="I47" s="7"/>
      <c r="J47" s="8"/>
      <c r="K47" s="9"/>
      <c r="L47" s="10"/>
      <c r="M47" s="11"/>
      <c r="N47" s="11"/>
      <c r="O47" s="1"/>
      <c r="P47" s="8"/>
      <c r="Q47" s="12"/>
      <c r="R47" s="11"/>
      <c r="S47" s="1"/>
      <c r="T47" s="1"/>
      <c r="U47" s="1"/>
      <c r="V47" s="16"/>
    </row>
    <row r="48" spans="1:22" s="13" customFormat="1" ht="16.5" customHeight="1" x14ac:dyDescent="0.3">
      <c r="A48" s="2"/>
      <c r="B48" s="3"/>
      <c r="C48" s="4"/>
      <c r="D48" s="5"/>
      <c r="E48" s="6"/>
      <c r="F48" s="5"/>
      <c r="G48" s="7"/>
      <c r="H48" s="7"/>
      <c r="I48" s="7"/>
      <c r="J48" s="8"/>
      <c r="K48" s="9"/>
      <c r="L48" s="10"/>
      <c r="M48" s="11"/>
      <c r="N48" s="11"/>
      <c r="O48" s="1"/>
      <c r="P48" s="8"/>
      <c r="Q48" s="12"/>
      <c r="R48" s="11"/>
      <c r="S48" s="1"/>
      <c r="T48" s="1"/>
      <c r="U48" s="1"/>
      <c r="V48" s="16"/>
    </row>
    <row r="49" spans="1:22" s="13" customFormat="1" ht="16.5" customHeight="1" x14ac:dyDescent="0.3">
      <c r="A49" s="2"/>
      <c r="B49" s="3"/>
      <c r="C49" s="4"/>
      <c r="D49" s="5"/>
      <c r="E49" s="6"/>
      <c r="F49" s="5"/>
      <c r="G49" s="7"/>
      <c r="H49" s="7"/>
      <c r="I49" s="7"/>
      <c r="J49" s="8"/>
      <c r="K49" s="9"/>
      <c r="L49" s="10"/>
      <c r="M49" s="11"/>
      <c r="N49" s="11"/>
      <c r="O49" s="1"/>
      <c r="P49" s="8"/>
      <c r="Q49" s="12"/>
      <c r="R49" s="11"/>
      <c r="S49" s="1"/>
      <c r="T49" s="1"/>
      <c r="U49" s="1"/>
      <c r="V49" s="16"/>
    </row>
    <row r="50" spans="1:22" s="13" customFormat="1" ht="16.5" customHeight="1" x14ac:dyDescent="0.3">
      <c r="A50" s="2"/>
      <c r="B50" s="3"/>
      <c r="C50" s="4"/>
      <c r="D50" s="5"/>
      <c r="E50" s="6"/>
      <c r="F50" s="5"/>
      <c r="G50" s="7"/>
      <c r="H50" s="7"/>
      <c r="I50" s="7"/>
      <c r="J50" s="8"/>
      <c r="K50" s="9"/>
      <c r="L50" s="10"/>
      <c r="M50" s="11"/>
      <c r="N50" s="11"/>
      <c r="O50" s="1"/>
      <c r="P50" s="8"/>
      <c r="Q50" s="12"/>
      <c r="R50" s="11"/>
      <c r="S50" s="1"/>
      <c r="T50" s="1"/>
      <c r="U50" s="1"/>
      <c r="V50" s="16"/>
    </row>
    <row r="51" spans="1:22" s="13" customFormat="1" ht="16.5" customHeight="1" x14ac:dyDescent="0.3">
      <c r="A51" s="2"/>
      <c r="B51" s="3"/>
      <c r="C51" s="4"/>
      <c r="D51" s="5"/>
      <c r="E51" s="6"/>
      <c r="F51" s="5"/>
      <c r="G51" s="7"/>
      <c r="H51" s="7"/>
      <c r="I51" s="7"/>
      <c r="J51" s="8"/>
      <c r="K51" s="9"/>
      <c r="L51" s="10"/>
      <c r="M51" s="11"/>
      <c r="N51" s="11"/>
      <c r="O51" s="1"/>
      <c r="P51" s="8"/>
      <c r="Q51" s="12"/>
      <c r="R51" s="11"/>
      <c r="S51" s="1"/>
      <c r="T51" s="1"/>
      <c r="U51" s="1"/>
      <c r="V51" s="16"/>
    </row>
    <row r="52" spans="1:22" s="13" customFormat="1" ht="16.5" customHeight="1" x14ac:dyDescent="0.3">
      <c r="A52" s="2"/>
      <c r="B52" s="3"/>
      <c r="C52" s="4"/>
      <c r="D52" s="5"/>
      <c r="E52" s="6"/>
      <c r="F52" s="5"/>
      <c r="G52" s="7"/>
      <c r="H52" s="7"/>
      <c r="I52" s="7"/>
      <c r="J52" s="8"/>
      <c r="K52" s="9"/>
      <c r="L52" s="10"/>
      <c r="M52" s="11"/>
      <c r="N52" s="11"/>
      <c r="O52" s="1"/>
      <c r="P52" s="8"/>
      <c r="Q52" s="12"/>
      <c r="R52" s="11"/>
      <c r="S52" s="1"/>
      <c r="T52" s="1"/>
      <c r="U52" s="1"/>
      <c r="V52" s="16"/>
    </row>
    <row r="53" spans="1:22" s="13" customFormat="1" ht="16.5" customHeight="1" x14ac:dyDescent="0.3">
      <c r="A53" s="2"/>
      <c r="B53" s="3"/>
      <c r="C53" s="4"/>
      <c r="D53" s="5"/>
      <c r="E53" s="6"/>
      <c r="F53" s="5"/>
      <c r="G53" s="2"/>
      <c r="H53" s="2"/>
      <c r="I53" s="2"/>
      <c r="J53" s="8"/>
      <c r="K53" s="9"/>
      <c r="L53" s="10"/>
      <c r="M53" s="11"/>
      <c r="N53" s="11"/>
      <c r="O53" s="1"/>
      <c r="P53" s="8"/>
      <c r="Q53" s="12"/>
      <c r="R53" s="11"/>
      <c r="S53" s="1"/>
      <c r="T53" s="1"/>
      <c r="U53" s="1"/>
      <c r="V53" s="16"/>
    </row>
    <row r="54" spans="1:22" s="13" customFormat="1" ht="16.5" customHeight="1" x14ac:dyDescent="0.3">
      <c r="A54" s="2"/>
      <c r="B54" s="3"/>
      <c r="C54" s="4"/>
      <c r="D54" s="5"/>
      <c r="E54" s="6"/>
      <c r="F54" s="5"/>
      <c r="G54" s="7"/>
      <c r="H54" s="7"/>
      <c r="I54" s="7"/>
      <c r="J54" s="8"/>
      <c r="K54" s="9"/>
      <c r="L54" s="10"/>
      <c r="M54" s="11"/>
      <c r="N54" s="11"/>
      <c r="O54" s="1"/>
      <c r="P54" s="8"/>
      <c r="Q54" s="12"/>
      <c r="R54" s="11"/>
      <c r="S54" s="1"/>
      <c r="T54" s="1"/>
      <c r="U54" s="1"/>
      <c r="V54" s="16"/>
    </row>
    <row r="55" spans="1:22" s="13" customFormat="1" ht="16.5" customHeight="1" x14ac:dyDescent="0.3">
      <c r="A55" s="2"/>
      <c r="B55" s="3"/>
      <c r="C55" s="4"/>
      <c r="D55" s="5"/>
      <c r="E55" s="6"/>
      <c r="F55" s="5"/>
      <c r="G55" s="7"/>
      <c r="H55" s="7"/>
      <c r="I55" s="7"/>
      <c r="J55" s="8"/>
      <c r="K55" s="9"/>
      <c r="L55" s="10"/>
      <c r="M55" s="11"/>
      <c r="N55" s="11"/>
      <c r="O55" s="1"/>
      <c r="P55" s="8"/>
      <c r="Q55" s="12"/>
      <c r="R55" s="11"/>
      <c r="S55" s="1"/>
      <c r="T55" s="1"/>
      <c r="U55" s="1"/>
      <c r="V55" s="16"/>
    </row>
    <row r="56" spans="1:22" s="13" customFormat="1" ht="16.5" customHeight="1" x14ac:dyDescent="0.3">
      <c r="A56" s="2"/>
      <c r="B56" s="3"/>
      <c r="C56" s="4"/>
      <c r="D56" s="5"/>
      <c r="E56" s="6"/>
      <c r="F56" s="5"/>
      <c r="G56" s="7"/>
      <c r="H56" s="7"/>
      <c r="I56" s="7"/>
      <c r="J56" s="8"/>
      <c r="K56" s="9"/>
      <c r="L56" s="10"/>
      <c r="M56" s="11"/>
      <c r="N56" s="11"/>
      <c r="O56" s="1"/>
      <c r="P56" s="8"/>
      <c r="Q56" s="12"/>
      <c r="R56" s="11"/>
      <c r="S56" s="1"/>
      <c r="T56" s="1"/>
      <c r="U56" s="1"/>
      <c r="V56" s="16"/>
    </row>
    <row r="57" spans="1:22" s="13" customFormat="1" ht="16.5" customHeight="1" x14ac:dyDescent="0.3">
      <c r="A57" s="2"/>
      <c r="B57" s="3"/>
      <c r="C57" s="4"/>
      <c r="D57" s="5"/>
      <c r="E57" s="6"/>
      <c r="F57" s="5"/>
      <c r="G57" s="7"/>
      <c r="H57" s="7"/>
      <c r="I57" s="7"/>
      <c r="J57" s="8"/>
      <c r="K57" s="9"/>
      <c r="L57" s="10"/>
      <c r="M57" s="11"/>
      <c r="N57" s="11"/>
      <c r="O57" s="1"/>
      <c r="P57" s="8"/>
      <c r="Q57" s="12"/>
      <c r="R57" s="11"/>
      <c r="S57" s="1"/>
      <c r="T57" s="1"/>
      <c r="U57" s="1"/>
      <c r="V57" s="16"/>
    </row>
    <row r="58" spans="1:22" s="13" customFormat="1" ht="16.5" customHeight="1" x14ac:dyDescent="0.3">
      <c r="A58" s="2"/>
      <c r="B58" s="3"/>
      <c r="C58" s="4"/>
      <c r="D58" s="5"/>
      <c r="E58" s="6"/>
      <c r="F58" s="5"/>
      <c r="G58" s="7"/>
      <c r="H58" s="7"/>
      <c r="I58" s="7"/>
      <c r="J58" s="8"/>
      <c r="K58" s="9"/>
      <c r="L58" s="10"/>
      <c r="M58" s="11"/>
      <c r="N58" s="11"/>
      <c r="O58" s="1"/>
      <c r="P58" s="8"/>
      <c r="Q58" s="12"/>
      <c r="R58" s="11"/>
      <c r="S58" s="1"/>
      <c r="T58" s="1"/>
      <c r="U58" s="1"/>
      <c r="V58" s="16"/>
    </row>
    <row r="59" spans="1:22" s="13" customFormat="1" ht="16.5" customHeight="1" x14ac:dyDescent="0.3">
      <c r="A59" s="2"/>
      <c r="B59" s="3"/>
      <c r="C59" s="4"/>
      <c r="D59" s="5"/>
      <c r="E59" s="6"/>
      <c r="F59" s="5"/>
      <c r="G59" s="7"/>
      <c r="H59" s="7"/>
      <c r="I59" s="7"/>
      <c r="J59" s="8"/>
      <c r="K59" s="9"/>
      <c r="L59" s="10"/>
      <c r="M59" s="11"/>
      <c r="N59" s="11"/>
      <c r="O59" s="1"/>
      <c r="P59" s="8"/>
      <c r="Q59" s="12"/>
      <c r="R59" s="11"/>
      <c r="S59" s="1"/>
      <c r="T59" s="1"/>
      <c r="U59" s="1"/>
      <c r="V59" s="16"/>
    </row>
    <row r="60" spans="1:22" s="13" customFormat="1" ht="16.5" customHeight="1" x14ac:dyDescent="0.3">
      <c r="A60" s="2"/>
      <c r="B60" s="3"/>
      <c r="C60" s="4"/>
      <c r="D60" s="5"/>
      <c r="E60" s="6"/>
      <c r="F60" s="5"/>
      <c r="G60" s="7"/>
      <c r="H60" s="7"/>
      <c r="I60" s="7"/>
      <c r="J60" s="8"/>
      <c r="K60" s="9"/>
      <c r="L60" s="10"/>
      <c r="M60" s="11"/>
      <c r="N60" s="11"/>
      <c r="O60" s="1"/>
      <c r="P60" s="8"/>
      <c r="Q60" s="12"/>
      <c r="R60" s="11"/>
      <c r="S60" s="1"/>
      <c r="T60" s="1"/>
      <c r="U60" s="1"/>
      <c r="V60" s="16"/>
    </row>
    <row r="61" spans="1:22" s="13" customFormat="1" ht="16.5" customHeight="1" x14ac:dyDescent="0.3">
      <c r="A61" s="2"/>
      <c r="B61" s="3"/>
      <c r="C61" s="4"/>
      <c r="D61" s="5"/>
      <c r="E61" s="6"/>
      <c r="F61" s="5"/>
      <c r="G61" s="7"/>
      <c r="H61" s="7"/>
      <c r="I61" s="7"/>
      <c r="J61" s="8"/>
      <c r="K61" s="9"/>
      <c r="L61" s="10"/>
      <c r="M61" s="11"/>
      <c r="N61" s="11"/>
      <c r="O61" s="1"/>
      <c r="P61" s="8"/>
      <c r="Q61" s="12"/>
      <c r="R61" s="11"/>
      <c r="S61" s="1"/>
      <c r="T61" s="1"/>
      <c r="U61" s="1"/>
      <c r="V61" s="16"/>
    </row>
    <row r="62" spans="1:22" s="13" customFormat="1" ht="16.5" customHeight="1" x14ac:dyDescent="0.3">
      <c r="A62" s="2"/>
      <c r="B62" s="3"/>
      <c r="C62" s="4"/>
      <c r="D62" s="5"/>
      <c r="E62" s="6"/>
      <c r="F62" s="5"/>
      <c r="G62" s="7"/>
      <c r="H62" s="7"/>
      <c r="I62" s="7"/>
      <c r="J62" s="8"/>
      <c r="K62" s="9"/>
      <c r="L62" s="10"/>
      <c r="M62" s="11"/>
      <c r="N62" s="11"/>
      <c r="O62" s="1"/>
      <c r="P62" s="8"/>
      <c r="Q62" s="12"/>
      <c r="R62" s="11"/>
      <c r="S62" s="1"/>
      <c r="T62" s="1"/>
      <c r="U62" s="1"/>
      <c r="V62" s="16"/>
    </row>
    <row r="63" spans="1:22" s="13" customFormat="1" ht="16.5" customHeight="1" x14ac:dyDescent="0.3">
      <c r="A63" s="2"/>
      <c r="B63" s="3"/>
      <c r="C63" s="4"/>
      <c r="D63" s="5"/>
      <c r="E63" s="6"/>
      <c r="F63" s="5"/>
      <c r="G63" s="7"/>
      <c r="H63" s="7"/>
      <c r="I63" s="7"/>
      <c r="J63" s="8"/>
      <c r="K63" s="9"/>
      <c r="L63" s="10"/>
      <c r="M63" s="11"/>
      <c r="N63" s="11"/>
      <c r="O63" s="1"/>
      <c r="P63" s="8"/>
      <c r="Q63" s="12"/>
      <c r="R63" s="11"/>
      <c r="S63" s="1"/>
      <c r="T63" s="1"/>
      <c r="U63" s="1"/>
      <c r="V63" s="16"/>
    </row>
    <row r="64" spans="1:22" s="13" customFormat="1" ht="16.5" customHeight="1" x14ac:dyDescent="0.3">
      <c r="A64" s="2"/>
      <c r="B64" s="3"/>
      <c r="C64" s="4"/>
      <c r="D64" s="5"/>
      <c r="E64" s="6"/>
      <c r="F64" s="5"/>
      <c r="G64" s="7"/>
      <c r="H64" s="7"/>
      <c r="I64" s="7"/>
      <c r="J64" s="8"/>
      <c r="K64" s="9"/>
      <c r="L64" s="10"/>
      <c r="M64" s="11"/>
      <c r="N64" s="11"/>
      <c r="O64" s="1"/>
      <c r="P64" s="8"/>
      <c r="Q64" s="12"/>
      <c r="R64" s="11"/>
      <c r="S64" s="1"/>
      <c r="T64" s="1"/>
      <c r="U64" s="1"/>
      <c r="V64" s="16"/>
    </row>
    <row r="65" spans="1:22" s="13" customFormat="1" ht="16.5" customHeight="1" x14ac:dyDescent="0.3">
      <c r="A65" s="2"/>
      <c r="B65" s="3"/>
      <c r="C65" s="4"/>
      <c r="D65" s="5"/>
      <c r="E65" s="6"/>
      <c r="F65" s="5"/>
      <c r="G65" s="7"/>
      <c r="H65" s="7"/>
      <c r="I65" s="7"/>
      <c r="J65" s="8"/>
      <c r="K65" s="9"/>
      <c r="L65" s="10"/>
      <c r="M65" s="11"/>
      <c r="N65" s="11"/>
      <c r="O65" s="1"/>
      <c r="P65" s="8"/>
      <c r="Q65" s="12"/>
      <c r="R65" s="11"/>
      <c r="S65" s="1"/>
      <c r="T65" s="1"/>
      <c r="U65" s="1"/>
      <c r="V65" s="16"/>
    </row>
    <row r="66" spans="1:22" s="13" customFormat="1" ht="16.5" customHeight="1" x14ac:dyDescent="0.3">
      <c r="A66" s="2"/>
      <c r="B66" s="3"/>
      <c r="C66" s="4"/>
      <c r="D66" s="5"/>
      <c r="E66" s="6"/>
      <c r="F66" s="5"/>
      <c r="G66" s="7"/>
      <c r="H66" s="7"/>
      <c r="I66" s="7"/>
      <c r="J66" s="8"/>
      <c r="K66" s="9"/>
      <c r="L66" s="10"/>
      <c r="M66" s="11"/>
      <c r="N66" s="11"/>
      <c r="O66" s="1"/>
      <c r="P66" s="8"/>
      <c r="Q66" s="12"/>
      <c r="R66" s="11"/>
      <c r="S66" s="1"/>
      <c r="T66" s="1"/>
      <c r="U66" s="1"/>
      <c r="V66" s="16"/>
    </row>
    <row r="67" spans="1:22" s="13" customFormat="1" ht="16.5" customHeight="1" x14ac:dyDescent="0.3">
      <c r="A67" s="2"/>
      <c r="B67" s="3"/>
      <c r="C67" s="4"/>
      <c r="D67" s="5"/>
      <c r="E67" s="6"/>
      <c r="F67" s="5"/>
      <c r="G67" s="7"/>
      <c r="H67" s="7"/>
      <c r="I67" s="7"/>
      <c r="J67" s="8"/>
      <c r="K67" s="9"/>
      <c r="L67" s="10"/>
      <c r="M67" s="11"/>
      <c r="N67" s="11"/>
      <c r="O67" s="1"/>
      <c r="P67" s="8"/>
      <c r="Q67" s="12"/>
      <c r="R67" s="11"/>
      <c r="S67" s="1"/>
      <c r="T67" s="1"/>
      <c r="U67" s="1"/>
      <c r="V67" s="16"/>
    </row>
    <row r="68" spans="1:22" s="13" customFormat="1" ht="16.5" customHeight="1" x14ac:dyDescent="0.3">
      <c r="A68" s="2"/>
      <c r="B68" s="3"/>
      <c r="C68" s="4"/>
      <c r="D68" s="5"/>
      <c r="E68" s="6"/>
      <c r="F68" s="5"/>
      <c r="G68" s="7"/>
      <c r="H68" s="7"/>
      <c r="I68" s="7"/>
      <c r="J68" s="8"/>
      <c r="K68" s="9"/>
      <c r="L68" s="10"/>
      <c r="M68" s="11"/>
      <c r="N68" s="11"/>
      <c r="O68" s="1"/>
      <c r="P68" s="8"/>
      <c r="Q68" s="12"/>
      <c r="R68" s="11"/>
      <c r="S68" s="1"/>
      <c r="T68" s="1"/>
      <c r="U68" s="1"/>
      <c r="V68" s="16"/>
    </row>
    <row r="69" spans="1:22" s="13" customFormat="1" ht="16.5" customHeight="1" x14ac:dyDescent="0.3">
      <c r="A69" s="2"/>
      <c r="B69" s="3"/>
      <c r="C69" s="4"/>
      <c r="D69" s="5"/>
      <c r="E69" s="6"/>
      <c r="F69" s="5"/>
      <c r="G69" s="7"/>
      <c r="H69" s="7"/>
      <c r="I69" s="7"/>
      <c r="J69" s="8"/>
      <c r="K69" s="9"/>
      <c r="L69" s="10"/>
      <c r="M69" s="11"/>
      <c r="N69" s="11"/>
      <c r="O69" s="1"/>
      <c r="P69" s="8"/>
      <c r="Q69" s="12"/>
      <c r="R69" s="11"/>
      <c r="S69" s="1"/>
      <c r="T69" s="1"/>
      <c r="U69" s="1"/>
      <c r="V69" s="16"/>
    </row>
    <row r="70" spans="1:22" s="13" customFormat="1" ht="16.5" customHeight="1" x14ac:dyDescent="0.3">
      <c r="A70" s="2"/>
      <c r="B70" s="3"/>
      <c r="C70" s="4"/>
      <c r="D70" s="5"/>
      <c r="E70" s="6"/>
      <c r="F70" s="5"/>
      <c r="G70" s="7"/>
      <c r="H70" s="7"/>
      <c r="I70" s="7"/>
      <c r="J70" s="8"/>
      <c r="K70" s="9"/>
      <c r="L70" s="10"/>
      <c r="M70" s="11"/>
      <c r="N70" s="11"/>
      <c r="O70" s="1"/>
      <c r="P70" s="8"/>
      <c r="Q70" s="12"/>
      <c r="R70" s="11"/>
      <c r="S70" s="1"/>
      <c r="T70" s="1"/>
      <c r="U70" s="1"/>
      <c r="V70" s="16"/>
    </row>
    <row r="71" spans="1:22" s="13" customFormat="1" ht="16.5" customHeight="1" x14ac:dyDescent="0.3">
      <c r="A71" s="2"/>
      <c r="B71" s="3"/>
      <c r="C71" s="4"/>
      <c r="D71" s="5"/>
      <c r="E71" s="6"/>
      <c r="F71" s="5"/>
      <c r="G71" s="2"/>
      <c r="H71" s="2"/>
      <c r="I71" s="2"/>
      <c r="J71" s="8"/>
      <c r="K71" s="9"/>
      <c r="L71" s="10"/>
      <c r="M71" s="11"/>
      <c r="N71" s="11"/>
      <c r="O71" s="1"/>
      <c r="P71" s="8"/>
      <c r="Q71" s="12"/>
      <c r="R71" s="11"/>
      <c r="S71" s="1"/>
      <c r="T71" s="1"/>
      <c r="U71" s="1"/>
      <c r="V71" s="16"/>
    </row>
    <row r="72" spans="1:22" s="13" customFormat="1" ht="16.5" customHeight="1" x14ac:dyDescent="0.3">
      <c r="A72" s="2"/>
      <c r="B72" s="3"/>
      <c r="C72" s="4"/>
      <c r="D72" s="5"/>
      <c r="E72" s="6"/>
      <c r="F72" s="5"/>
      <c r="G72" s="2"/>
      <c r="H72" s="2"/>
      <c r="I72" s="2"/>
      <c r="J72" s="8"/>
      <c r="K72" s="9"/>
      <c r="L72" s="10"/>
      <c r="M72" s="11"/>
      <c r="N72" s="11"/>
      <c r="O72" s="1"/>
      <c r="P72" s="8"/>
      <c r="Q72" s="12"/>
      <c r="R72" s="11"/>
      <c r="S72" s="1"/>
      <c r="T72" s="1"/>
      <c r="U72" s="1"/>
      <c r="V72" s="16"/>
    </row>
    <row r="73" spans="1:22" s="13" customFormat="1" ht="16.5" customHeight="1" x14ac:dyDescent="0.3">
      <c r="A73" s="2"/>
      <c r="B73" s="3"/>
      <c r="C73" s="4"/>
      <c r="D73" s="5"/>
      <c r="E73" s="6"/>
      <c r="F73" s="5"/>
      <c r="G73" s="7"/>
      <c r="H73" s="7"/>
      <c r="I73" s="7"/>
      <c r="J73" s="8"/>
      <c r="K73" s="9"/>
      <c r="L73" s="10"/>
      <c r="M73" s="11"/>
      <c r="N73" s="11"/>
      <c r="O73" s="1"/>
      <c r="P73" s="8"/>
      <c r="Q73" s="12"/>
      <c r="R73" s="11"/>
      <c r="S73" s="1"/>
      <c r="T73" s="1"/>
      <c r="U73" s="1"/>
      <c r="V73" s="16"/>
    </row>
    <row r="74" spans="1:22" s="13" customFormat="1" ht="16.5" customHeight="1" x14ac:dyDescent="0.3">
      <c r="A74" s="2"/>
      <c r="B74" s="3"/>
      <c r="C74" s="4"/>
      <c r="D74" s="5"/>
      <c r="E74" s="6"/>
      <c r="F74" s="5"/>
      <c r="G74" s="7"/>
      <c r="H74" s="7"/>
      <c r="I74" s="7"/>
      <c r="J74" s="8"/>
      <c r="K74" s="9"/>
      <c r="L74" s="10"/>
      <c r="M74" s="11"/>
      <c r="N74" s="11"/>
      <c r="O74" s="1"/>
      <c r="P74" s="8"/>
      <c r="Q74" s="12"/>
      <c r="R74" s="11"/>
      <c r="S74" s="1"/>
      <c r="T74" s="1"/>
      <c r="U74" s="1"/>
      <c r="V74" s="16"/>
    </row>
    <row r="75" spans="1:22" s="13" customFormat="1" ht="16.5" customHeight="1" x14ac:dyDescent="0.3">
      <c r="A75" s="2"/>
      <c r="B75" s="3"/>
      <c r="C75" s="4"/>
      <c r="D75" s="5"/>
      <c r="E75" s="6"/>
      <c r="F75" s="5"/>
      <c r="G75" s="7"/>
      <c r="H75" s="7"/>
      <c r="I75" s="7"/>
      <c r="J75" s="8"/>
      <c r="K75" s="9"/>
      <c r="L75" s="10"/>
      <c r="M75" s="11"/>
      <c r="N75" s="11"/>
      <c r="O75" s="1"/>
      <c r="P75" s="8"/>
      <c r="Q75" s="12"/>
      <c r="R75" s="11"/>
      <c r="S75" s="1"/>
      <c r="T75" s="1"/>
      <c r="U75" s="1"/>
      <c r="V75" s="16"/>
    </row>
    <row r="76" spans="1:22" s="13" customFormat="1" ht="16.5" customHeight="1" x14ac:dyDescent="0.3">
      <c r="A76" s="2"/>
      <c r="B76" s="3"/>
      <c r="C76" s="4"/>
      <c r="D76" s="5"/>
      <c r="E76" s="6"/>
      <c r="F76" s="5"/>
      <c r="G76" s="7"/>
      <c r="H76" s="7"/>
      <c r="I76" s="7"/>
      <c r="J76" s="8"/>
      <c r="K76" s="9"/>
      <c r="L76" s="10"/>
      <c r="M76" s="11"/>
      <c r="N76" s="11"/>
      <c r="O76" s="1"/>
      <c r="P76" s="8"/>
      <c r="Q76" s="12"/>
      <c r="R76" s="11"/>
      <c r="S76" s="1"/>
      <c r="T76" s="1"/>
      <c r="U76" s="1"/>
      <c r="V76" s="16"/>
    </row>
    <row r="77" spans="1:22" s="13" customFormat="1" ht="16.5" customHeight="1" x14ac:dyDescent="0.3">
      <c r="A77" s="2"/>
      <c r="B77" s="3"/>
      <c r="C77" s="4"/>
      <c r="D77" s="5"/>
      <c r="E77" s="6"/>
      <c r="F77" s="5"/>
      <c r="G77" s="7"/>
      <c r="H77" s="7"/>
      <c r="I77" s="7"/>
      <c r="J77" s="8"/>
      <c r="K77" s="9"/>
      <c r="L77" s="10"/>
      <c r="M77" s="11"/>
      <c r="N77" s="11"/>
      <c r="O77" s="1"/>
      <c r="P77" s="8"/>
      <c r="Q77" s="12"/>
      <c r="R77" s="11"/>
      <c r="S77" s="1"/>
      <c r="T77" s="1"/>
      <c r="U77" s="1"/>
      <c r="V77" s="16"/>
    </row>
    <row r="78" spans="1:22" s="13" customFormat="1" ht="16.5" customHeight="1" x14ac:dyDescent="0.3">
      <c r="A78" s="2"/>
      <c r="B78" s="3"/>
      <c r="C78" s="4"/>
      <c r="D78" s="5"/>
      <c r="E78" s="6"/>
      <c r="F78" s="5"/>
      <c r="G78" s="7"/>
      <c r="H78" s="7"/>
      <c r="I78" s="7"/>
      <c r="J78" s="8"/>
      <c r="K78" s="9"/>
      <c r="L78" s="10"/>
      <c r="M78" s="11"/>
      <c r="N78" s="11"/>
      <c r="O78" s="1"/>
      <c r="P78" s="8"/>
      <c r="Q78" s="12"/>
      <c r="R78" s="11"/>
      <c r="S78" s="1"/>
      <c r="T78" s="1"/>
      <c r="U78" s="1"/>
      <c r="V78" s="16"/>
    </row>
    <row r="79" spans="1:22" s="13" customFormat="1" ht="16.5" customHeight="1" x14ac:dyDescent="0.3">
      <c r="A79" s="2"/>
      <c r="B79" s="3"/>
      <c r="C79" s="4"/>
      <c r="D79" s="5"/>
      <c r="E79" s="6"/>
      <c r="F79" s="5"/>
      <c r="G79" s="7"/>
      <c r="H79" s="7"/>
      <c r="I79" s="7"/>
      <c r="J79" s="8"/>
      <c r="K79" s="9"/>
      <c r="L79" s="10"/>
      <c r="M79" s="11"/>
      <c r="N79" s="11"/>
      <c r="O79" s="1"/>
      <c r="P79" s="8"/>
      <c r="Q79" s="12"/>
      <c r="R79" s="11"/>
      <c r="S79" s="1"/>
      <c r="T79" s="1"/>
      <c r="U79" s="1"/>
      <c r="V79" s="16"/>
    </row>
    <row r="80" spans="1:22" s="13" customFormat="1" ht="16.5" customHeight="1" x14ac:dyDescent="0.3">
      <c r="A80" s="2"/>
      <c r="B80" s="3"/>
      <c r="C80" s="4"/>
      <c r="D80" s="5"/>
      <c r="E80" s="6"/>
      <c r="F80" s="5"/>
      <c r="G80" s="7"/>
      <c r="H80" s="7"/>
      <c r="I80" s="7"/>
      <c r="J80" s="8"/>
      <c r="K80" s="9"/>
      <c r="L80" s="10"/>
      <c r="M80" s="11"/>
      <c r="N80" s="11"/>
      <c r="O80" s="1"/>
      <c r="P80" s="8"/>
      <c r="Q80" s="12"/>
      <c r="R80" s="11"/>
      <c r="S80" s="1"/>
      <c r="T80" s="1"/>
      <c r="U80" s="1"/>
      <c r="V80" s="16"/>
    </row>
    <row r="81" spans="1:22" s="13" customFormat="1" ht="16.5" customHeight="1" x14ac:dyDescent="0.3">
      <c r="A81" s="2"/>
      <c r="B81" s="3"/>
      <c r="C81" s="4"/>
      <c r="D81" s="5"/>
      <c r="E81" s="6"/>
      <c r="F81" s="5"/>
      <c r="G81" s="7"/>
      <c r="H81" s="7"/>
      <c r="I81" s="7"/>
      <c r="J81" s="8"/>
      <c r="K81" s="9"/>
      <c r="L81" s="10"/>
      <c r="M81" s="11"/>
      <c r="N81" s="11"/>
      <c r="O81" s="1"/>
      <c r="P81" s="8"/>
      <c r="Q81" s="12"/>
      <c r="R81" s="11"/>
      <c r="S81" s="1"/>
      <c r="T81" s="1"/>
      <c r="U81" s="1"/>
      <c r="V81" s="16"/>
    </row>
    <row r="82" spans="1:22" s="13" customFormat="1" ht="16.5" customHeight="1" x14ac:dyDescent="0.3">
      <c r="A82" s="2"/>
      <c r="B82" s="3"/>
      <c r="C82" s="4"/>
      <c r="D82" s="5"/>
      <c r="E82" s="6"/>
      <c r="F82" s="5"/>
      <c r="G82" s="7"/>
      <c r="H82" s="7"/>
      <c r="I82" s="7"/>
      <c r="J82" s="8"/>
      <c r="K82" s="9"/>
      <c r="L82" s="10"/>
      <c r="M82" s="11"/>
      <c r="N82" s="11"/>
      <c r="O82" s="1"/>
      <c r="P82" s="8"/>
      <c r="Q82" s="12"/>
      <c r="R82" s="11"/>
      <c r="S82" s="1"/>
      <c r="T82" s="1"/>
      <c r="U82" s="1"/>
      <c r="V82" s="16"/>
    </row>
    <row r="83" spans="1:22" s="13" customFormat="1" ht="16.5" customHeight="1" x14ac:dyDescent="0.3">
      <c r="A83" s="2"/>
      <c r="B83" s="3"/>
      <c r="C83" s="4"/>
      <c r="D83" s="5"/>
      <c r="E83" s="6"/>
      <c r="F83" s="5"/>
      <c r="G83" s="7"/>
      <c r="H83" s="7"/>
      <c r="I83" s="7"/>
      <c r="J83" s="8"/>
      <c r="K83" s="9"/>
      <c r="L83" s="10"/>
      <c r="M83" s="11"/>
      <c r="N83" s="11"/>
      <c r="O83" s="1"/>
      <c r="P83" s="8"/>
      <c r="Q83" s="12"/>
      <c r="R83" s="11"/>
      <c r="S83" s="1"/>
      <c r="T83" s="1"/>
      <c r="U83" s="1"/>
      <c r="V83" s="16"/>
    </row>
  </sheetData>
  <sortState ref="A2:S29">
    <sortCondition ref="Q2:Q29"/>
  </sortState>
  <mergeCells count="2">
    <mergeCell ref="O1:R1"/>
    <mergeCell ref="A31:V31"/>
  </mergeCells>
  <conditionalFormatting sqref="L2:L29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:V29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  <pageSetup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2:H18"/>
  <sheetViews>
    <sheetView zoomScaleNormal="100" workbookViewId="0">
      <selection activeCell="C11" sqref="C11"/>
    </sheetView>
  </sheetViews>
  <sheetFormatPr defaultRowHeight="14.4" x14ac:dyDescent="0.3"/>
  <cols>
    <col min="1" max="1" width="23.77734375" style="45" customWidth="1"/>
    <col min="2" max="2" width="24.88671875" style="66" customWidth="1"/>
    <col min="3" max="3" width="8.77734375" style="44" customWidth="1"/>
    <col min="4" max="4" width="8.77734375" style="45" customWidth="1"/>
    <col min="5" max="5" width="11.77734375" style="68" customWidth="1"/>
    <col min="6" max="6" width="15.6640625" style="68" customWidth="1"/>
    <col min="7" max="7" width="13.6640625" style="68" customWidth="1"/>
    <col min="8" max="8" width="16" style="68" customWidth="1"/>
    <col min="9" max="16384" width="8.88671875" style="45"/>
  </cols>
  <sheetData>
    <row r="2" spans="1:8" ht="25.05" customHeight="1" x14ac:dyDescent="0.3">
      <c r="A2" s="42" t="s">
        <v>51</v>
      </c>
      <c r="B2" s="43" t="s">
        <v>27</v>
      </c>
      <c r="E2" s="325" t="s">
        <v>93</v>
      </c>
      <c r="F2" s="326"/>
      <c r="G2" s="326"/>
      <c r="H2" s="327"/>
    </row>
    <row r="3" spans="1:8" ht="25.05" customHeight="1" x14ac:dyDescent="0.3">
      <c r="A3" s="46"/>
      <c r="B3" s="47"/>
      <c r="E3" s="48" t="s">
        <v>39</v>
      </c>
      <c r="F3" s="49">
        <f>VLOOKUP(B2,'Data Feed'!A:I,4,FALSE)</f>
        <v>0.96172999999999997</v>
      </c>
      <c r="G3" s="50" t="s">
        <v>4</v>
      </c>
      <c r="H3" s="51">
        <f>VLOOKUP(B2,'Data Feed'!A:I,9,FALSE)</f>
        <v>0.96297999999999995</v>
      </c>
    </row>
    <row r="4" spans="1:8" ht="25.05" customHeight="1" x14ac:dyDescent="0.3">
      <c r="A4" s="42" t="s">
        <v>80</v>
      </c>
      <c r="B4" s="52">
        <v>0.01</v>
      </c>
      <c r="E4" s="48" t="s">
        <v>38</v>
      </c>
      <c r="F4" s="49">
        <f>VLOOKUP(B2,'Data Feed'!A:I,3,FALSE)</f>
        <v>0.96170999999999995</v>
      </c>
      <c r="G4" s="50" t="s">
        <v>5</v>
      </c>
      <c r="H4" s="51">
        <f>VLOOKUP(B2,'Data Feed'!A:I,8,FALSE)</f>
        <v>0.95730999999999999</v>
      </c>
    </row>
    <row r="5" spans="1:8" ht="25.05" customHeight="1" x14ac:dyDescent="0.3">
      <c r="A5" s="46"/>
      <c r="B5" s="47"/>
      <c r="E5" s="48" t="s">
        <v>41</v>
      </c>
      <c r="F5" s="53">
        <f>VLOOKUP(B2,'Data Feed'!A:I,5,FALSE)</f>
        <v>0.20000000000020002</v>
      </c>
      <c r="G5" s="50" t="s">
        <v>92</v>
      </c>
      <c r="H5" s="51">
        <f>VLOOKUP(B2,'Data Feed'!A:I,7,FALSE)</f>
        <v>0.96171999999999991</v>
      </c>
    </row>
    <row r="6" spans="1:8" ht="25.05" customHeight="1" x14ac:dyDescent="0.3">
      <c r="A6" s="42" t="s">
        <v>40</v>
      </c>
      <c r="B6" s="54">
        <v>0.05</v>
      </c>
      <c r="E6" s="55"/>
      <c r="F6" s="55"/>
      <c r="G6" s="55"/>
      <c r="H6" s="55"/>
    </row>
    <row r="7" spans="1:8" ht="25.05" customHeight="1" x14ac:dyDescent="0.3">
      <c r="A7" s="46"/>
      <c r="B7" s="56"/>
      <c r="E7" s="322" t="s">
        <v>78</v>
      </c>
      <c r="F7" s="323"/>
      <c r="G7" s="323"/>
      <c r="H7" s="324"/>
    </row>
    <row r="8" spans="1:8" ht="25.05" customHeight="1" x14ac:dyDescent="0.3">
      <c r="A8" s="42" t="s">
        <v>77</v>
      </c>
      <c r="B8" s="57">
        <f>H18</f>
        <v>50</v>
      </c>
      <c r="C8" s="66"/>
      <c r="E8" s="58" t="s">
        <v>65</v>
      </c>
      <c r="F8" s="58" t="s">
        <v>66</v>
      </c>
      <c r="G8" s="58" t="s">
        <v>40</v>
      </c>
      <c r="H8" s="58" t="s">
        <v>67</v>
      </c>
    </row>
    <row r="9" spans="1:8" ht="25.05" customHeight="1" x14ac:dyDescent="0.3">
      <c r="A9" s="46"/>
      <c r="B9" s="59"/>
      <c r="E9" s="60">
        <f>B4</f>
        <v>0.01</v>
      </c>
      <c r="F9" s="58">
        <v>100000</v>
      </c>
      <c r="G9" s="61">
        <f>B6</f>
        <v>0.05</v>
      </c>
      <c r="H9" s="60">
        <f>(E9*F9)*G9</f>
        <v>50</v>
      </c>
    </row>
    <row r="10" spans="1:8" ht="25.05" customHeight="1" x14ac:dyDescent="0.3">
      <c r="A10" s="42" t="s">
        <v>61</v>
      </c>
      <c r="B10" s="57">
        <f>VLOOKUP(B2,'Pip Values'!A:L,12,FALSE)</f>
        <v>10.397928732596467</v>
      </c>
      <c r="E10" s="58"/>
      <c r="F10" s="58"/>
      <c r="G10" s="58"/>
      <c r="H10" s="58"/>
    </row>
    <row r="11" spans="1:8" ht="25.05" customHeight="1" x14ac:dyDescent="0.3">
      <c r="B11" s="62"/>
      <c r="C11" s="63"/>
      <c r="E11" s="58" t="s">
        <v>68</v>
      </c>
      <c r="F11" s="58" t="s">
        <v>75</v>
      </c>
      <c r="G11" s="58" t="s">
        <v>76</v>
      </c>
      <c r="H11" s="58" t="s">
        <v>69</v>
      </c>
    </row>
    <row r="12" spans="1:8" ht="25.05" customHeight="1" x14ac:dyDescent="0.3">
      <c r="A12" s="321" t="s">
        <v>88</v>
      </c>
      <c r="B12" s="321"/>
      <c r="E12" s="58" t="str">
        <f>B2</f>
        <v>USDCHF</v>
      </c>
      <c r="F12" s="58" t="str">
        <f>LEFT(E12,3)</f>
        <v>USD</v>
      </c>
      <c r="G12" s="58" t="str">
        <f>RIGHT(E12,3)</f>
        <v>CHF</v>
      </c>
      <c r="H12" s="64">
        <f>F3</f>
        <v>0.96172999999999997</v>
      </c>
    </row>
    <row r="13" spans="1:8" ht="25.05" customHeight="1" x14ac:dyDescent="0.3">
      <c r="B13" s="65"/>
      <c r="C13" s="63"/>
      <c r="E13" s="58"/>
      <c r="F13" s="58"/>
      <c r="G13" s="58"/>
      <c r="H13" s="58"/>
    </row>
    <row r="14" spans="1:8" ht="25.05" customHeight="1" x14ac:dyDescent="0.3">
      <c r="E14" s="58" t="s">
        <v>56</v>
      </c>
      <c r="F14" s="58" t="s">
        <v>70</v>
      </c>
      <c r="G14" s="58" t="s">
        <v>71</v>
      </c>
      <c r="H14" s="58"/>
    </row>
    <row r="15" spans="1:8" ht="25.05" customHeight="1" x14ac:dyDescent="0.3">
      <c r="E15" s="58" t="b">
        <f>ISNUMBER(SEARCH("USD",E12))</f>
        <v>1</v>
      </c>
      <c r="F15" s="58" t="str">
        <f>IF(F12="USD","TRUE","FALSE")</f>
        <v>TRUE</v>
      </c>
      <c r="G15" s="58" t="str">
        <f>IF(G12="USD","TRUE","FALSE")</f>
        <v>FALSE</v>
      </c>
      <c r="H15" s="58"/>
    </row>
    <row r="16" spans="1:8" ht="25.05" customHeight="1" x14ac:dyDescent="0.3">
      <c r="E16" s="58"/>
      <c r="F16" s="58"/>
      <c r="G16" s="58"/>
      <c r="H16" s="58"/>
    </row>
    <row r="17" spans="5:8" ht="25.05" customHeight="1" x14ac:dyDescent="0.3">
      <c r="E17" s="58" t="s">
        <v>72</v>
      </c>
      <c r="F17" s="58" t="s">
        <v>73</v>
      </c>
      <c r="G17" s="58" t="s">
        <v>74</v>
      </c>
      <c r="H17" s="58" t="s">
        <v>79</v>
      </c>
    </row>
    <row r="18" spans="5:8" ht="25.05" customHeight="1" x14ac:dyDescent="0.3">
      <c r="E18" s="58" t="str">
        <f>IF(E15=FALSE,CONCATENATE(F12&amp;"USD"),E12)</f>
        <v>USDCHF</v>
      </c>
      <c r="F18" s="58" t="str">
        <f>IFERROR(IFERROR(VLOOKUP(E18,'Data Feed'!$A$3:$E$30,1,FALSE),VLOOKUP(CONCATENATE("USD"&amp;F12),'Data Feed'!$A$3:$E$30,1,FALSE)),"")</f>
        <v>USDCHF</v>
      </c>
      <c r="G18" s="58">
        <f>IFERROR(VLOOKUP(F18,'Data Feed'!$A$3:$E$30,4,FALSE),"ERROR")</f>
        <v>0.96172999999999997</v>
      </c>
      <c r="H18" s="67">
        <f>IFERROR(IF(F15="True",H9,H9*G18),"")</f>
        <v>50</v>
      </c>
    </row>
  </sheetData>
  <mergeCells count="3">
    <mergeCell ref="A12:B12"/>
    <mergeCell ref="E7:H7"/>
    <mergeCell ref="E2:H2"/>
  </mergeCells>
  <pageMargins left="0.7" right="0.7" top="0.75" bottom="0.75" header="0.3" footer="0.3"/>
  <pageSetup orientation="portrait" horizontalDpi="4294967293" verticalDpi="4294967293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Error" error="Not a valid symbol" promptTitle="Symbol" prompt="Choose the currency pair from the dropdown list">
          <x14:formula1>
            <xm:f>'DDE Live Data'!$A$2:$A$29</xm:f>
          </x14:formula1>
          <xm:sqref>B2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tabSelected="1" zoomScaleNormal="100" workbookViewId="0">
      <selection activeCell="L34" sqref="L34"/>
    </sheetView>
  </sheetViews>
  <sheetFormatPr defaultColWidth="9.109375" defaultRowHeight="16.5" customHeight="1" x14ac:dyDescent="0.3"/>
  <cols>
    <col min="1" max="1" width="14.21875" style="122" customWidth="1"/>
    <col min="2" max="2" width="12.6640625" style="36" customWidth="1"/>
    <col min="3" max="3" width="11.5546875" style="36" customWidth="1"/>
    <col min="4" max="4" width="12.21875" style="36" customWidth="1"/>
    <col min="5" max="5" width="10.6640625" style="37" customWidth="1"/>
    <col min="6" max="6" width="29.21875" style="37" customWidth="1"/>
    <col min="7" max="7" width="11" style="40" customWidth="1"/>
    <col min="8" max="8" width="11.21875" style="40" customWidth="1"/>
    <col min="9" max="9" width="11.77734375" customWidth="1"/>
    <col min="10" max="10" width="13.44140625" style="36" customWidth="1"/>
    <col min="11" max="11" width="13.33203125" style="39" customWidth="1"/>
    <col min="12" max="12" width="24.88671875" style="36" customWidth="1"/>
    <col min="13" max="13" width="8.88671875" style="36" customWidth="1"/>
    <col min="14" max="14" width="25.21875" style="36" customWidth="1"/>
    <col min="15" max="15" width="11.33203125" style="36" customWidth="1"/>
    <col min="16" max="16384" width="9.109375" style="36"/>
  </cols>
  <sheetData>
    <row r="1" spans="1:15" ht="16.5" customHeight="1" x14ac:dyDescent="0.3">
      <c r="A1" s="351" t="s">
        <v>89</v>
      </c>
      <c r="B1" s="352" t="s">
        <v>37</v>
      </c>
      <c r="C1" s="352" t="s">
        <v>5</v>
      </c>
      <c r="D1" s="352" t="s">
        <v>4</v>
      </c>
      <c r="E1" s="353" t="s">
        <v>90</v>
      </c>
      <c r="F1" s="353"/>
      <c r="G1" s="354" t="s">
        <v>61</v>
      </c>
      <c r="H1" s="354" t="s">
        <v>81</v>
      </c>
      <c r="I1" s="354" t="s">
        <v>41</v>
      </c>
      <c r="J1" s="352" t="s">
        <v>103</v>
      </c>
      <c r="K1" s="355" t="s">
        <v>142</v>
      </c>
      <c r="L1" s="355"/>
      <c r="M1" s="19"/>
    </row>
    <row r="2" spans="1:15" ht="16.5" customHeight="1" x14ac:dyDescent="0.3">
      <c r="A2" s="333">
        <f>IFERROR(VLOOKUP(B2,'Data Feed'!A:I,2,FALSE),"")</f>
        <v>2020</v>
      </c>
      <c r="B2" s="334" t="s">
        <v>6</v>
      </c>
      <c r="C2" s="335">
        <f>IFERROR(VLOOKUP(B2,'Data Feed'!$A$3:$I$30,8,FALSE),"")</f>
        <v>1.1115200000000001</v>
      </c>
      <c r="D2" s="336">
        <f>IFERROR(VLOOKUP(B2,'Data Feed'!$A$3:$I$30,9,FALSE),"")</f>
        <v>1.1187800000000001</v>
      </c>
      <c r="E2" s="337">
        <f t="shared" ref="E2:E29" si="0">IFERROR(IF(ISNUMBER(SEARCH("JPY",B2)),((D2-C2)*100),((D2-C2)*10000)),"")</f>
        <v>72.600000000000449</v>
      </c>
      <c r="F2" s="337">
        <f>E2</f>
        <v>72.600000000000449</v>
      </c>
      <c r="G2" s="338">
        <f>VLOOKUP(B2,'Margin Requirement'!$A$2:$V$29,12,FALSE)</f>
        <v>10</v>
      </c>
      <c r="H2" s="338">
        <f>VLOOKUP(B2,'Margin Requirement'!$A$2:$V$29,22,FALSE)</f>
        <v>111.68600000000001</v>
      </c>
      <c r="I2" s="338">
        <f>VLOOKUP(B2,'Data Feed'!$A$3:$I$30,5,FALSE)</f>
        <v>0</v>
      </c>
      <c r="J2" s="339">
        <f>VLOOKUP(B2,'ADR(30)'!$A$1:$B$30,2,FALSE)</f>
        <v>79</v>
      </c>
      <c r="K2" s="349">
        <f t="shared" ref="K2:K29" si="1">E2/J2</f>
        <v>0.91898734177215757</v>
      </c>
      <c r="L2" s="340">
        <f>K2</f>
        <v>0.91898734177215757</v>
      </c>
    </row>
    <row r="3" spans="1:15" ht="16.5" customHeight="1" x14ac:dyDescent="0.3">
      <c r="A3" s="333">
        <f>IFERROR(VLOOKUP(B3,'Data Feed'!A:I,2,FALSE),"")</f>
        <v>2020</v>
      </c>
      <c r="B3" s="334" t="s">
        <v>27</v>
      </c>
      <c r="C3" s="335">
        <f>IFERROR(VLOOKUP(B3,'Data Feed'!$A$3:$I$30,8,FALSE),"")</f>
        <v>0.95730999999999999</v>
      </c>
      <c r="D3" s="336">
        <f>IFERROR(VLOOKUP(B3,'Data Feed'!$A$3:$I$30,9,FALSE),"")</f>
        <v>0.96297999999999995</v>
      </c>
      <c r="E3" s="337">
        <f t="shared" si="0"/>
        <v>56.699999999999527</v>
      </c>
      <c r="F3" s="337">
        <f t="shared" ref="F3:F29" si="2">E3</f>
        <v>56.699999999999527</v>
      </c>
      <c r="G3" s="338">
        <f>VLOOKUP(B3,'Margin Requirement'!$A$2:$V$29,12,FALSE)</f>
        <v>10.397928732596467</v>
      </c>
      <c r="H3" s="338">
        <f>VLOOKUP(B3,'Margin Requirement'!$A$2:$V$29,22,FALSE)</f>
        <v>96.172999999999988</v>
      </c>
      <c r="I3" s="338">
        <f>VLOOKUP(B3,'Data Feed'!$A$3:$I$30,5,FALSE)</f>
        <v>0.20000000000020002</v>
      </c>
      <c r="J3" s="339">
        <f>VLOOKUP(B3,'ADR(30)'!$A$1:$B$30,2,FALSE)</f>
        <v>63</v>
      </c>
      <c r="K3" s="349">
        <f t="shared" si="1"/>
        <v>0.89999999999999247</v>
      </c>
      <c r="L3" s="340">
        <f t="shared" ref="L3:L29" si="3">K3</f>
        <v>0.89999999999999247</v>
      </c>
      <c r="N3" s="329" t="s">
        <v>101</v>
      </c>
      <c r="O3" s="329"/>
    </row>
    <row r="4" spans="1:15" ht="16.5" customHeight="1" x14ac:dyDescent="0.3">
      <c r="A4" s="333">
        <f>IFERROR(VLOOKUP(B4,'Data Feed'!A:I,2,FALSE),"")</f>
        <v>2020</v>
      </c>
      <c r="B4" s="334" t="s">
        <v>25</v>
      </c>
      <c r="C4" s="335">
        <f>IFERROR(VLOOKUP(B4,'Data Feed'!$A$3:$I$30,8,FALSE),"")</f>
        <v>1.2478499999999999</v>
      </c>
      <c r="D4" s="336">
        <f>IFERROR(VLOOKUP(B4,'Data Feed'!$A$3:$I$30,9,FALSE),"")</f>
        <v>1.25762</v>
      </c>
      <c r="E4" s="337">
        <f t="shared" si="0"/>
        <v>97.700000000000557</v>
      </c>
      <c r="F4" s="337">
        <f t="shared" si="2"/>
        <v>97.700000000000557</v>
      </c>
      <c r="G4" s="338">
        <f>VLOOKUP(B4,'Margin Requirement'!$A$2:$V$29,12,FALSE)</f>
        <v>10</v>
      </c>
      <c r="H4" s="338">
        <f>VLOOKUP(B4,'Margin Requirement'!$A$2:$V$29,22,FALSE)</f>
        <v>125.65599999999999</v>
      </c>
      <c r="I4" s="338">
        <f>VLOOKUP(B4,'Data Feed'!$A$3:$I$30,5,FALSE)</f>
        <v>0</v>
      </c>
      <c r="J4" s="339">
        <f>VLOOKUP(B4,'ADR(30)'!$A$1:$B$30,2,FALSE)</f>
        <v>117</v>
      </c>
      <c r="K4" s="349">
        <f t="shared" si="1"/>
        <v>0.83504273504273985</v>
      </c>
      <c r="L4" s="340">
        <f t="shared" si="3"/>
        <v>0.83504273504273985</v>
      </c>
      <c r="N4" s="330" t="s">
        <v>99</v>
      </c>
      <c r="O4" s="331">
        <v>75</v>
      </c>
    </row>
    <row r="5" spans="1:15" ht="16.5" customHeight="1" x14ac:dyDescent="0.3">
      <c r="A5" s="333">
        <f>IFERROR(VLOOKUP(B5,'Data Feed'!A:I,2,FALSE),"")</f>
        <v>2020</v>
      </c>
      <c r="B5" s="334" t="s">
        <v>17</v>
      </c>
      <c r="C5" s="335">
        <f>IFERROR(VLOOKUP(B5,'Data Feed'!$A$3:$I$30,8,FALSE),"")</f>
        <v>107.514</v>
      </c>
      <c r="D5" s="336">
        <f>IFERROR(VLOOKUP(B5,'Data Feed'!$A$3:$I$30,9,FALSE),"")</f>
        <v>107.836</v>
      </c>
      <c r="E5" s="337">
        <f t="shared" si="0"/>
        <v>32.200000000000273</v>
      </c>
      <c r="F5" s="337">
        <f t="shared" si="2"/>
        <v>32.200000000000273</v>
      </c>
      <c r="G5" s="338">
        <f>VLOOKUP(B5,'Margin Requirement'!$A$2:$V$29,12,FALSE)</f>
        <v>9.2802256950889053</v>
      </c>
      <c r="H5" s="338">
        <f>VLOOKUP(B5,'Margin Requirement'!$A$2:$V$29,22,FALSE)</f>
        <v>107.756</v>
      </c>
      <c r="I5" s="338">
        <f>VLOOKUP(B5,'Data Feed'!$A$3:$I$30,5,FALSE)</f>
        <v>0</v>
      </c>
      <c r="J5" s="339">
        <f>VLOOKUP(B5,'ADR(30)'!$A$1:$B$30,2,FALSE)</f>
        <v>60</v>
      </c>
      <c r="K5" s="349">
        <f t="shared" si="1"/>
        <v>0.53666666666667118</v>
      </c>
      <c r="L5" s="340">
        <f t="shared" si="3"/>
        <v>0.53666666666667118</v>
      </c>
      <c r="N5" s="330" t="s">
        <v>100</v>
      </c>
      <c r="O5" s="331">
        <v>20</v>
      </c>
    </row>
    <row r="6" spans="1:15" ht="16.5" customHeight="1" x14ac:dyDescent="0.3">
      <c r="A6" s="333">
        <f>IFERROR(VLOOKUP(B6,'Data Feed'!A:I,2,FALSE),"")</f>
        <v>2020</v>
      </c>
      <c r="B6" s="334" t="s">
        <v>26</v>
      </c>
      <c r="C6" s="335">
        <f>IFERROR(VLOOKUP(B6,'Data Feed'!$A$3:$I$30,8,FALSE),"")</f>
        <v>0.67749000000000004</v>
      </c>
      <c r="D6" s="336">
        <f>IFERROR(VLOOKUP(B6,'Data Feed'!$A$3:$I$30,9,FALSE),"")</f>
        <v>0.68693000000000004</v>
      </c>
      <c r="E6" s="337">
        <f t="shared" si="0"/>
        <v>94.400000000000034</v>
      </c>
      <c r="F6" s="337">
        <f t="shared" si="2"/>
        <v>94.400000000000034</v>
      </c>
      <c r="G6" s="338">
        <f>VLOOKUP(B6,'Margin Requirement'!$A$2:$V$29,12,FALSE)</f>
        <v>10</v>
      </c>
      <c r="H6" s="338">
        <f>VLOOKUP(B6,'Margin Requirement'!$A$2:$V$29,22,FALSE)</f>
        <v>68.540999999999997</v>
      </c>
      <c r="I6" s="338">
        <f>VLOOKUP(B6,'Data Feed'!$A$3:$I$30,5,FALSE)</f>
        <v>0.20000000000020002</v>
      </c>
      <c r="J6" s="339">
        <f>VLOOKUP(B6,'ADR(30)'!$A$1:$B$30,2,FALSE)</f>
        <v>86</v>
      </c>
      <c r="K6" s="349">
        <f t="shared" si="1"/>
        <v>1.0976744186046516</v>
      </c>
      <c r="L6" s="340">
        <f t="shared" si="3"/>
        <v>1.0976744186046516</v>
      </c>
      <c r="N6" s="330" t="s">
        <v>97</v>
      </c>
      <c r="O6" s="331">
        <v>0.1</v>
      </c>
    </row>
    <row r="7" spans="1:15" ht="16.5" customHeight="1" x14ac:dyDescent="0.3">
      <c r="A7" s="333">
        <f>IFERROR(VLOOKUP(B7,'Data Feed'!A:I,2,FALSE),"")</f>
        <v>2020</v>
      </c>
      <c r="B7" s="334" t="s">
        <v>12</v>
      </c>
      <c r="C7" s="335">
        <f>IFERROR(VLOOKUP(B7,'Data Feed'!$A$3:$I$30,8,FALSE),"")</f>
        <v>1.3493200000000001</v>
      </c>
      <c r="D7" s="336">
        <f>IFERROR(VLOOKUP(B7,'Data Feed'!$A$3:$I$30,9,FALSE),"")</f>
        <v>1.3585199999999999</v>
      </c>
      <c r="E7" s="337">
        <f t="shared" si="0"/>
        <v>91.999999999998749</v>
      </c>
      <c r="F7" s="337">
        <f t="shared" si="2"/>
        <v>91.999999999998749</v>
      </c>
      <c r="G7" s="338">
        <f>VLOOKUP(B7,'Margin Requirement'!$A$2:$V$29,12,FALSE)</f>
        <v>7.3979818305566241</v>
      </c>
      <c r="H7" s="338">
        <f>VLOOKUP(B7,'Margin Requirement'!$A$2:$V$29,22,FALSE)</f>
        <v>135.172</v>
      </c>
      <c r="I7" s="338">
        <f>VLOOKUP(B7,'Data Feed'!$A$3:$I$30,5,FALSE)</f>
        <v>0.40000000000040004</v>
      </c>
      <c r="J7" s="339">
        <f>VLOOKUP(B7,'ADR(30)'!$A$1:$B$30,2,FALSE)</f>
        <v>125</v>
      </c>
      <c r="K7" s="349">
        <f t="shared" si="1"/>
        <v>0.73599999999999</v>
      </c>
      <c r="L7" s="340">
        <f t="shared" si="3"/>
        <v>0.73599999999999</v>
      </c>
      <c r="N7" s="330" t="s">
        <v>98</v>
      </c>
      <c r="O7" s="331">
        <v>1</v>
      </c>
    </row>
    <row r="8" spans="1:15" ht="16.5" customHeight="1" x14ac:dyDescent="0.3">
      <c r="A8" s="333">
        <f>IFERROR(VLOOKUP(B8,'Data Feed'!A:I,2,FALSE),"")</f>
        <v>2020</v>
      </c>
      <c r="B8" s="334" t="s">
        <v>24</v>
      </c>
      <c r="C8" s="335">
        <f>IFERROR(VLOOKUP(B8,'Data Feed'!$A$3:$I$30,8,FALSE),"")</f>
        <v>0.62629000000000001</v>
      </c>
      <c r="D8" s="336">
        <f>IFERROR(VLOOKUP(B8,'Data Feed'!$A$3:$I$30,9,FALSE),"")</f>
        <v>0.63180999999999998</v>
      </c>
      <c r="E8" s="337">
        <f t="shared" si="0"/>
        <v>55.19999999999969</v>
      </c>
      <c r="F8" s="337">
        <f t="shared" si="2"/>
        <v>55.19999999999969</v>
      </c>
      <c r="G8" s="338">
        <f>VLOOKUP(B8,'Margin Requirement'!$A$2:$V$29,12,FALSE)</f>
        <v>10</v>
      </c>
      <c r="H8" s="338">
        <f>VLOOKUP(B8,'Margin Requirement'!$A$2:$V$29,22,FALSE)</f>
        <v>63.141999999999996</v>
      </c>
      <c r="I8" s="338">
        <f>VLOOKUP(B8,'Data Feed'!$A$3:$I$30,5,FALSE)</f>
        <v>0.10000000000065512</v>
      </c>
      <c r="J8" s="339">
        <f>VLOOKUP(B8,'ADR(30)'!$A$1:$B$30,2,FALSE)</f>
        <v>80</v>
      </c>
      <c r="K8" s="349">
        <f t="shared" si="1"/>
        <v>0.68999999999999617</v>
      </c>
      <c r="L8" s="340">
        <f t="shared" si="3"/>
        <v>0.68999999999999617</v>
      </c>
      <c r="N8" s="330" t="s">
        <v>104</v>
      </c>
      <c r="O8" s="332">
        <v>1</v>
      </c>
    </row>
    <row r="9" spans="1:15" ht="16.5" customHeight="1" x14ac:dyDescent="0.3">
      <c r="A9" s="341">
        <f>IFERROR(VLOOKUP(B9,'Data Feed'!A:I,2,FALSE),"")</f>
        <v>2020</v>
      </c>
      <c r="B9" s="342" t="s">
        <v>33</v>
      </c>
      <c r="C9" s="343">
        <f>IFERROR(VLOOKUP(B9,'Data Feed'!$A$3:$I$30,8,FALSE),"")</f>
        <v>0.88666</v>
      </c>
      <c r="D9" s="344">
        <f>IFERROR(VLOOKUP(B9,'Data Feed'!$A$3:$I$30,9,FALSE),"")</f>
        <v>0.89166000000000001</v>
      </c>
      <c r="E9" s="345">
        <f t="shared" si="0"/>
        <v>50.000000000000043</v>
      </c>
      <c r="F9" s="345">
        <f t="shared" si="2"/>
        <v>50.000000000000043</v>
      </c>
      <c r="G9" s="346">
        <f>VLOOKUP(B9,'Margin Requirement'!$A$2:$V$29,12,FALSE)</f>
        <v>12.5656</v>
      </c>
      <c r="H9" s="346">
        <f>VLOOKUP(B9,'Margin Requirement'!$A$2:$V$29,22,FALSE)</f>
        <v>125.65599999999999</v>
      </c>
      <c r="I9" s="346">
        <f>VLOOKUP(B9,'Data Feed'!$A$3:$I$30,5,FALSE)</f>
        <v>0.20000000000020002</v>
      </c>
      <c r="J9" s="347">
        <f>VLOOKUP(B9,'ADR(30)'!$A$1:$B$30,2,FALSE)</f>
        <v>69</v>
      </c>
      <c r="K9" s="350">
        <f t="shared" si="1"/>
        <v>0.72463768115942095</v>
      </c>
      <c r="L9" s="348">
        <f t="shared" si="3"/>
        <v>0.72463768115942095</v>
      </c>
    </row>
    <row r="10" spans="1:15" ht="16.5" customHeight="1" x14ac:dyDescent="0.3">
      <c r="A10" s="341">
        <f>IFERROR(VLOOKUP(B10,'Data Feed'!A:I,2,FALSE),"")</f>
        <v>2020</v>
      </c>
      <c r="B10" s="342" t="s">
        <v>11</v>
      </c>
      <c r="C10" s="343">
        <f>IFERROR(VLOOKUP(B10,'Data Feed'!$A$3:$I$30,8,FALSE),"")</f>
        <v>1.6281099999999999</v>
      </c>
      <c r="D10" s="344">
        <f>IFERROR(VLOOKUP(B10,'Data Feed'!$A$3:$I$30,9,FALSE),"")</f>
        <v>1.6416500000000001</v>
      </c>
      <c r="E10" s="345">
        <f t="shared" si="0"/>
        <v>135.40000000000109</v>
      </c>
      <c r="F10" s="345">
        <f t="shared" si="2"/>
        <v>135.40000000000109</v>
      </c>
      <c r="G10" s="346">
        <f>VLOOKUP(B10,'Margin Requirement'!$A$2:$V$29,12,FALSE)</f>
        <v>6.8543000000000003</v>
      </c>
      <c r="H10" s="346">
        <f>VLOOKUP(B10,'Margin Requirement'!$A$2:$V$29,22,FALSE)</f>
        <v>68.543000000000006</v>
      </c>
      <c r="I10" s="346">
        <f>VLOOKUP(B10,'Data Feed'!$A$3:$I$30,5,FALSE)</f>
        <v>0.50000000000105516</v>
      </c>
      <c r="J10" s="347">
        <f>VLOOKUP(B10,'ADR(30)'!$A$1:$B$30,2,FALSE)</f>
        <v>187</v>
      </c>
      <c r="K10" s="350">
        <f t="shared" si="1"/>
        <v>0.72406417112300048</v>
      </c>
      <c r="L10" s="348">
        <f t="shared" si="3"/>
        <v>0.72406417112300048</v>
      </c>
    </row>
    <row r="11" spans="1:15" ht="16.5" customHeight="1" x14ac:dyDescent="0.3">
      <c r="A11" s="341">
        <f>IFERROR(VLOOKUP(B11,'Data Feed'!A:I,2,FALSE),"")</f>
        <v>2020</v>
      </c>
      <c r="B11" s="342" t="s">
        <v>15</v>
      </c>
      <c r="C11" s="343">
        <f>IFERROR(VLOOKUP(B11,'Data Feed'!$A$3:$I$30,8,FALSE),"")</f>
        <v>1.5054700000000001</v>
      </c>
      <c r="D11" s="344">
        <f>IFERROR(VLOOKUP(B11,'Data Feed'!$A$3:$I$30,9,FALSE),"")</f>
        <v>1.5116000000000001</v>
      </c>
      <c r="E11" s="345">
        <f t="shared" si="0"/>
        <v>61.299999999999685</v>
      </c>
      <c r="F11" s="345">
        <f t="shared" si="2"/>
        <v>61.299999999999685</v>
      </c>
      <c r="G11" s="346">
        <f>VLOOKUP(B11,'Margin Requirement'!$A$2:$V$29,12,FALSE)</f>
        <v>7.3982007575757578</v>
      </c>
      <c r="H11" s="346">
        <f>VLOOKUP(B11,'Margin Requirement'!$A$2:$V$29,22,FALSE)</f>
        <v>135.16800000000001</v>
      </c>
      <c r="I11" s="346">
        <f>VLOOKUP(B11,'Data Feed'!$A$3:$I$30,5,FALSE)</f>
        <v>0.80000000000080007</v>
      </c>
      <c r="J11" s="347">
        <f>VLOOKUP(B11,'ADR(30)'!$A$1:$B$30,2,FALSE)</f>
        <v>133</v>
      </c>
      <c r="K11" s="350">
        <f t="shared" si="1"/>
        <v>0.46090225563909537</v>
      </c>
      <c r="L11" s="348">
        <f t="shared" si="3"/>
        <v>0.46090225563909537</v>
      </c>
    </row>
    <row r="12" spans="1:15" ht="16.5" customHeight="1" x14ac:dyDescent="0.3">
      <c r="A12" s="341">
        <f>IFERROR(VLOOKUP(B12,'Data Feed'!A:I,2,FALSE),"")</f>
        <v>2020</v>
      </c>
      <c r="B12" s="342" t="s">
        <v>30</v>
      </c>
      <c r="C12" s="343">
        <f>IFERROR(VLOOKUP(B12,'Data Feed'!$A$3:$I$30,8,FALSE),"")</f>
        <v>1.06856</v>
      </c>
      <c r="D12" s="344">
        <f>IFERROR(VLOOKUP(B12,'Data Feed'!$A$3:$I$30,9,FALSE),"")</f>
        <v>1.0763</v>
      </c>
      <c r="E12" s="345">
        <f t="shared" si="0"/>
        <v>77.400000000000801</v>
      </c>
      <c r="F12" s="345">
        <f t="shared" si="2"/>
        <v>77.400000000000801</v>
      </c>
      <c r="G12" s="346">
        <f>VLOOKUP(B12,'Margin Requirement'!$A$2:$V$29,12,FALSE)</f>
        <v>10.398144970937185</v>
      </c>
      <c r="H12" s="346">
        <f>VLOOKUP(B12,'Margin Requirement'!$A$2:$V$29,22,FALSE)</f>
        <v>96.171000000000006</v>
      </c>
      <c r="I12" s="346">
        <f>VLOOKUP(B12,'Data Feed'!$A$3:$I$30,5,FALSE)</f>
        <v>0.30000000000196536</v>
      </c>
      <c r="J12" s="347">
        <f>VLOOKUP(B12,'ADR(30)'!$A$1:$B$30,2,FALSE)</f>
        <v>44</v>
      </c>
      <c r="K12" s="350">
        <f t="shared" si="1"/>
        <v>1.7590909090909272</v>
      </c>
      <c r="L12" s="348">
        <f t="shared" si="3"/>
        <v>1.7590909090909272</v>
      </c>
    </row>
    <row r="13" spans="1:15" ht="16.5" customHeight="1" x14ac:dyDescent="0.3">
      <c r="A13" s="341">
        <f>IFERROR(VLOOKUP(B13,'Data Feed'!A:I,2,FALSE),"")</f>
        <v>2020</v>
      </c>
      <c r="B13" s="342" t="s">
        <v>8</v>
      </c>
      <c r="C13" s="343">
        <f>IFERROR(VLOOKUP(B13,'Data Feed'!$A$3:$I$30,8,FALSE),"")</f>
        <v>1.7657</v>
      </c>
      <c r="D13" s="344">
        <f>IFERROR(VLOOKUP(B13,'Data Feed'!$A$3:$I$30,9,FALSE),"")</f>
        <v>1.7780400000000001</v>
      </c>
      <c r="E13" s="345">
        <f t="shared" si="0"/>
        <v>123.40000000000018</v>
      </c>
      <c r="F13" s="345">
        <f t="shared" si="2"/>
        <v>123.40000000000018</v>
      </c>
      <c r="G13" s="346">
        <f>VLOOKUP(B13,'Margin Requirement'!$A$2:$V$29,12,FALSE)</f>
        <v>6.3143000000000002</v>
      </c>
      <c r="H13" s="346">
        <f>VLOOKUP(B13,'Margin Requirement'!$A$2:$V$29,22,FALSE)</f>
        <v>63.143000000000001</v>
      </c>
      <c r="I13" s="346">
        <f>VLOOKUP(B13,'Data Feed'!$A$3:$I$30,5,FALSE)</f>
        <v>0.59999999999948983</v>
      </c>
      <c r="J13" s="347">
        <f>VLOOKUP(B13,'ADR(30)'!$A$1:$B$30,2,FALSE)</f>
        <v>198</v>
      </c>
      <c r="K13" s="350">
        <f t="shared" si="1"/>
        <v>0.62323232323232414</v>
      </c>
      <c r="L13" s="348">
        <f t="shared" si="3"/>
        <v>0.62323232323232414</v>
      </c>
    </row>
    <row r="14" spans="1:15" ht="16.5" customHeight="1" x14ac:dyDescent="0.3">
      <c r="A14" s="341">
        <f>IFERROR(VLOOKUP(B14,'Data Feed'!A:I,2,FALSE),"")</f>
        <v>2020</v>
      </c>
      <c r="B14" s="342" t="s">
        <v>10</v>
      </c>
      <c r="C14" s="343">
        <f>IFERROR(VLOOKUP(B14,'Data Feed'!$A$3:$I$30,8,FALSE),"")</f>
        <v>1.8292200000000001</v>
      </c>
      <c r="D14" s="344">
        <f>IFERROR(VLOOKUP(B14,'Data Feed'!$A$3:$I$30,9,FALSE),"")</f>
        <v>1.8456300000000001</v>
      </c>
      <c r="E14" s="345">
        <f t="shared" si="0"/>
        <v>164.10000000000036</v>
      </c>
      <c r="F14" s="345">
        <f t="shared" si="2"/>
        <v>164.10000000000036</v>
      </c>
      <c r="G14" s="346">
        <f>VLOOKUP(B14,'Margin Requirement'!$A$2:$V$29,12,FALSE)</f>
        <v>6.8543000000000003</v>
      </c>
      <c r="H14" s="346">
        <f>VLOOKUP(B14,'Margin Requirement'!$A$2:$V$29,22,FALSE)</f>
        <v>68.543000000000006</v>
      </c>
      <c r="I14" s="346">
        <f>VLOOKUP(B14,'Data Feed'!$A$3:$I$30,5,FALSE)</f>
        <v>0.99999999999988987</v>
      </c>
      <c r="J14" s="347">
        <f>VLOOKUP(B14,'ADR(30)'!$A$1:$B$30,2,FALSE)</f>
        <v>176</v>
      </c>
      <c r="K14" s="350">
        <f t="shared" si="1"/>
        <v>0.93238636363636573</v>
      </c>
      <c r="L14" s="348">
        <f t="shared" si="3"/>
        <v>0.93238636363636573</v>
      </c>
    </row>
    <row r="15" spans="1:15" ht="16.5" customHeight="1" x14ac:dyDescent="0.3">
      <c r="A15" s="341">
        <f>IFERROR(VLOOKUP(B15,'Data Feed'!A:I,2,FALSE),"")</f>
        <v>2020</v>
      </c>
      <c r="B15" s="342" t="s">
        <v>14</v>
      </c>
      <c r="C15" s="343">
        <f>IFERROR(VLOOKUP(B15,'Data Feed'!$A$3:$I$30,8,FALSE),"")</f>
        <v>1.6906000000000001</v>
      </c>
      <c r="D15" s="344">
        <f>IFERROR(VLOOKUP(B15,'Data Feed'!$A$3:$I$30,9,FALSE),"")</f>
        <v>1.6988000000000001</v>
      </c>
      <c r="E15" s="345">
        <f t="shared" si="0"/>
        <v>81.999999999999858</v>
      </c>
      <c r="F15" s="345">
        <f t="shared" si="2"/>
        <v>81.999999999999858</v>
      </c>
      <c r="G15" s="346">
        <f>VLOOKUP(B15,'Margin Requirement'!$A$2:$V$29,12,FALSE)</f>
        <v>7.3982007575757578</v>
      </c>
      <c r="H15" s="346">
        <f>VLOOKUP(B15,'Margin Requirement'!$A$2:$V$29,22,FALSE)</f>
        <v>135.16800000000001</v>
      </c>
      <c r="I15" s="346">
        <f>VLOOKUP(B15,'Data Feed'!$A$3:$I$30,5,FALSE)</f>
        <v>0.70000000000014495</v>
      </c>
      <c r="J15" s="347">
        <f>VLOOKUP(B15,'ADR(30)'!$A$1:$B$30,2,FALSE)</f>
        <v>139</v>
      </c>
      <c r="K15" s="350">
        <f t="shared" si="1"/>
        <v>0.58992805755395583</v>
      </c>
      <c r="L15" s="348">
        <f t="shared" si="3"/>
        <v>0.58992805755395583</v>
      </c>
    </row>
    <row r="16" spans="1:15" ht="16.5" customHeight="1" x14ac:dyDescent="0.3">
      <c r="A16" s="341">
        <f>IFERROR(VLOOKUP(B16,'Data Feed'!A:I,2,FALSE),"")</f>
        <v>2020</v>
      </c>
      <c r="B16" s="342" t="s">
        <v>29</v>
      </c>
      <c r="C16" s="343">
        <f>IFERROR(VLOOKUP(B16,'Data Feed'!$A$3:$I$30,8,FALSE),"")</f>
        <v>1.1994</v>
      </c>
      <c r="D16" s="344">
        <f>IFERROR(VLOOKUP(B16,'Data Feed'!$A$3:$I$30,9,FALSE),"")</f>
        <v>1.2097500000000001</v>
      </c>
      <c r="E16" s="345">
        <f t="shared" si="0"/>
        <v>103.50000000000081</v>
      </c>
      <c r="F16" s="345">
        <f t="shared" si="2"/>
        <v>103.50000000000081</v>
      </c>
      <c r="G16" s="346">
        <f>VLOOKUP(B16,'Margin Requirement'!$A$2:$V$29,12,FALSE)</f>
        <v>10.398144970937185</v>
      </c>
      <c r="H16" s="346">
        <f>VLOOKUP(B16,'Margin Requirement'!$A$2:$V$29,22,FALSE)</f>
        <v>96.171000000000006</v>
      </c>
      <c r="I16" s="346">
        <f>VLOOKUP(B16,'Data Feed'!$A$3:$I$30,5,FALSE)</f>
        <v>0.80000000000080007</v>
      </c>
      <c r="J16" s="347">
        <f>VLOOKUP(B16,'ADR(30)'!$A$1:$B$30,2,FALSE)</f>
        <v>107</v>
      </c>
      <c r="K16" s="350">
        <f t="shared" si="1"/>
        <v>0.96728971962617583</v>
      </c>
      <c r="L16" s="348">
        <f t="shared" si="3"/>
        <v>0.96728971962617583</v>
      </c>
    </row>
    <row r="17" spans="1:12" ht="16.5" customHeight="1" x14ac:dyDescent="0.3">
      <c r="A17" s="341">
        <f>IFERROR(VLOOKUP(B17,'Data Feed'!A:I,2,FALSE),"")</f>
        <v>2020</v>
      </c>
      <c r="B17" s="342" t="s">
        <v>7</v>
      </c>
      <c r="C17" s="343">
        <f>IFERROR(VLOOKUP(B17,'Data Feed'!$A$3:$I$30,8,FALSE),"")</f>
        <v>1.98224</v>
      </c>
      <c r="D17" s="344">
        <f>IFERROR(VLOOKUP(B17,'Data Feed'!$A$3:$I$30,9,FALSE),"")</f>
        <v>2.0001099999999998</v>
      </c>
      <c r="E17" s="345">
        <f t="shared" si="0"/>
        <v>178.69999999999831</v>
      </c>
      <c r="F17" s="345">
        <f t="shared" si="2"/>
        <v>178.69999999999831</v>
      </c>
      <c r="G17" s="346">
        <f>VLOOKUP(B17,'Margin Requirement'!$A$2:$V$29,12,FALSE)</f>
        <v>6.3143000000000002</v>
      </c>
      <c r="H17" s="346">
        <f>VLOOKUP(B17,'Margin Requirement'!$A$2:$V$29,22,FALSE)</f>
        <v>63.143000000000001</v>
      </c>
      <c r="I17" s="346">
        <f>VLOOKUP(B17,'Data Feed'!$A$3:$I$30,5,FALSE)</f>
        <v>1.8999999999991246</v>
      </c>
      <c r="J17" s="347">
        <f>VLOOKUP(B17,'ADR(30)'!$A$1:$B$30,2,FALSE)</f>
        <v>186</v>
      </c>
      <c r="K17" s="350">
        <f t="shared" si="1"/>
        <v>0.96075268817203396</v>
      </c>
      <c r="L17" s="348">
        <f t="shared" si="3"/>
        <v>0.96075268817203396</v>
      </c>
    </row>
    <row r="18" spans="1:12" ht="16.5" customHeight="1" x14ac:dyDescent="0.3">
      <c r="A18" s="341">
        <f>IFERROR(VLOOKUP(B18,'Data Feed'!A:I,2,FALSE),"")</f>
        <v>2020</v>
      </c>
      <c r="B18" s="342" t="s">
        <v>20</v>
      </c>
      <c r="C18" s="343">
        <f>IFERROR(VLOOKUP(B18,'Data Feed'!$A$3:$I$30,8,FALSE),"")</f>
        <v>119.624</v>
      </c>
      <c r="D18" s="344">
        <f>IFERROR(VLOOKUP(B18,'Data Feed'!$A$3:$I$30,9,FALSE),"")</f>
        <v>120.551</v>
      </c>
      <c r="E18" s="345">
        <f t="shared" si="0"/>
        <v>92.700000000000671</v>
      </c>
      <c r="F18" s="345">
        <f t="shared" si="2"/>
        <v>92.700000000000671</v>
      </c>
      <c r="G18" s="346">
        <f>VLOOKUP(B18,'Margin Requirement'!$A$2:$V$29,12,FALSE)</f>
        <v>9.2802256950889053</v>
      </c>
      <c r="H18" s="346">
        <f>VLOOKUP(B18,'Margin Requirement'!$A$2:$V$29,22,FALSE)</f>
        <v>107.756</v>
      </c>
      <c r="I18" s="346">
        <f>VLOOKUP(B18,'Data Feed'!$A$3:$I$30,5,FALSE)</f>
        <v>0.10000000000047748</v>
      </c>
      <c r="J18" s="347">
        <f>VLOOKUP(B18,'ADR(30)'!$A$1:$B$30,2,FALSE)</f>
        <v>93</v>
      </c>
      <c r="K18" s="350">
        <f t="shared" si="1"/>
        <v>0.99677419354839436</v>
      </c>
      <c r="L18" s="348">
        <f t="shared" si="3"/>
        <v>0.99677419354839436</v>
      </c>
    </row>
    <row r="19" spans="1:12" ht="16.5" customHeight="1" x14ac:dyDescent="0.3">
      <c r="A19" s="341">
        <f>IFERROR(VLOOKUP(B19,'Data Feed'!A:I,2,FALSE),"")</f>
        <v>2020</v>
      </c>
      <c r="B19" s="342" t="s">
        <v>19</v>
      </c>
      <c r="C19" s="343">
        <f>IFERROR(VLOOKUP(B19,'Data Feed'!$A$3:$I$30,8,FALSE),"")</f>
        <v>134.21899999999999</v>
      </c>
      <c r="D19" s="344">
        <f>IFERROR(VLOOKUP(B19,'Data Feed'!$A$3:$I$30,9,FALSE),"")</f>
        <v>135.5</v>
      </c>
      <c r="E19" s="345">
        <f t="shared" si="0"/>
        <v>128.10000000000059</v>
      </c>
      <c r="F19" s="345">
        <f t="shared" si="2"/>
        <v>128.10000000000059</v>
      </c>
      <c r="G19" s="346">
        <f>VLOOKUP(B19,'Margin Requirement'!$A$2:$V$29,12,FALSE)</f>
        <v>9.2802256950889053</v>
      </c>
      <c r="H19" s="346">
        <f>VLOOKUP(B19,'Margin Requirement'!$A$2:$V$29,22,FALSE)</f>
        <v>107.756</v>
      </c>
      <c r="I19" s="346">
        <f>VLOOKUP(B19,'Data Feed'!$A$3:$I$30,5,FALSE)</f>
        <v>0.1999999999981128</v>
      </c>
      <c r="J19" s="347">
        <f>VLOOKUP(B19,'ADR(30)'!$A$1:$B$30,2,FALSE)</f>
        <v>136</v>
      </c>
      <c r="K19" s="350">
        <f t="shared" si="1"/>
        <v>0.94191176470588667</v>
      </c>
      <c r="L19" s="348">
        <f t="shared" si="3"/>
        <v>0.94191176470588667</v>
      </c>
    </row>
    <row r="20" spans="1:12" ht="16.5" customHeight="1" x14ac:dyDescent="0.3">
      <c r="A20" s="341">
        <f>IFERROR(VLOOKUP(B20,'Data Feed'!A:I,2,FALSE),"")</f>
        <v>2020</v>
      </c>
      <c r="B20" s="342" t="s">
        <v>23</v>
      </c>
      <c r="C20" s="343">
        <f>IFERROR(VLOOKUP(B20,'Data Feed'!$A$3:$I$30,8,FALSE),"")</f>
        <v>72.933000000000007</v>
      </c>
      <c r="D20" s="344">
        <f>IFERROR(VLOOKUP(B20,'Data Feed'!$A$3:$I$30,9,FALSE),"")</f>
        <v>74.010999999999996</v>
      </c>
      <c r="E20" s="345">
        <f t="shared" si="0"/>
        <v>107.79999999999887</v>
      </c>
      <c r="F20" s="345">
        <f t="shared" si="2"/>
        <v>107.79999999999887</v>
      </c>
      <c r="G20" s="346">
        <f>VLOOKUP(B20,'Margin Requirement'!$A$2:$V$29,12,FALSE)</f>
        <v>9.2802256950889053</v>
      </c>
      <c r="H20" s="346">
        <f>VLOOKUP(B20,'Margin Requirement'!$A$2:$V$29,22,FALSE)</f>
        <v>107.756</v>
      </c>
      <c r="I20" s="346">
        <f>VLOOKUP(B20,'Data Feed'!$A$3:$I$30,5,FALSE)</f>
        <v>0.30000000000001137</v>
      </c>
      <c r="J20" s="347">
        <f>VLOOKUP(B20,'ADR(30)'!$A$1:$B$30,2,FALSE)</f>
        <v>91</v>
      </c>
      <c r="K20" s="350">
        <f t="shared" si="1"/>
        <v>1.1846153846153722</v>
      </c>
      <c r="L20" s="348">
        <f t="shared" si="3"/>
        <v>1.1846153846153722</v>
      </c>
    </row>
    <row r="21" spans="1:12" ht="16.5" customHeight="1" x14ac:dyDescent="0.3">
      <c r="A21" s="341">
        <f>IFERROR(VLOOKUP(B21,'Data Feed'!A:I,2,FALSE),"")</f>
        <v>2020</v>
      </c>
      <c r="B21" s="342" t="s">
        <v>18</v>
      </c>
      <c r="C21" s="343">
        <f>IFERROR(VLOOKUP(B21,'Data Feed'!$A$3:$I$30,8,FALSE),"")</f>
        <v>67.515000000000001</v>
      </c>
      <c r="D21" s="344">
        <f>IFERROR(VLOOKUP(B21,'Data Feed'!$A$3:$I$30,9,FALSE),"")</f>
        <v>68.072000000000003</v>
      </c>
      <c r="E21" s="345">
        <f t="shared" si="0"/>
        <v>55.700000000000216</v>
      </c>
      <c r="F21" s="345">
        <f t="shared" si="2"/>
        <v>55.700000000000216</v>
      </c>
      <c r="G21" s="346">
        <f>VLOOKUP(B21,'Margin Requirement'!$A$2:$V$29,12,FALSE)</f>
        <v>9.2802256950889053</v>
      </c>
      <c r="H21" s="346">
        <f>VLOOKUP(B21,'Margin Requirement'!$A$2:$V$29,22,FALSE)</f>
        <v>107.756</v>
      </c>
      <c r="I21" s="346">
        <f>VLOOKUP(B21,'Data Feed'!$A$3:$I$30,5,FALSE)</f>
        <v>0.40000000000048885</v>
      </c>
      <c r="J21" s="347">
        <f>VLOOKUP(B21,'ADR(30)'!$A$1:$B$30,2,FALSE)</f>
        <v>85</v>
      </c>
      <c r="K21" s="350">
        <f t="shared" si="1"/>
        <v>0.65529411764706136</v>
      </c>
      <c r="L21" s="348">
        <f t="shared" si="3"/>
        <v>0.65529411764706136</v>
      </c>
    </row>
    <row r="22" spans="1:12" ht="16.5" customHeight="1" x14ac:dyDescent="0.3">
      <c r="A22" s="341">
        <f>IFERROR(VLOOKUP(B22,'Data Feed'!A:I,2,FALSE),"")</f>
        <v>2020</v>
      </c>
      <c r="B22" s="342" t="s">
        <v>22</v>
      </c>
      <c r="C22" s="343">
        <f>IFERROR(VLOOKUP(B22,'Data Feed'!$A$3:$I$30,8,FALSE),"")</f>
        <v>79.153999999999996</v>
      </c>
      <c r="D22" s="344">
        <f>IFERROR(VLOOKUP(B22,'Data Feed'!$A$3:$I$30,9,FALSE),"")</f>
        <v>79.856999999999999</v>
      </c>
      <c r="E22" s="345">
        <f t="shared" si="0"/>
        <v>70.300000000000296</v>
      </c>
      <c r="F22" s="345">
        <f t="shared" si="2"/>
        <v>70.300000000000296</v>
      </c>
      <c r="G22" s="346">
        <f>VLOOKUP(B22,'Margin Requirement'!$A$2:$V$29,12,FALSE)</f>
        <v>9.2802256950889053</v>
      </c>
      <c r="H22" s="346">
        <f>VLOOKUP(B22,'Margin Requirement'!$A$2:$V$29,22,FALSE)</f>
        <v>107.756</v>
      </c>
      <c r="I22" s="346">
        <f>VLOOKUP(B22,'Data Feed'!$A$3:$I$30,5,FALSE)</f>
        <v>0.19999999999953388</v>
      </c>
      <c r="J22" s="347">
        <f>VLOOKUP(B22,'ADR(30)'!$A$1:$B$30,2,FALSE)</f>
        <v>77</v>
      </c>
      <c r="K22" s="350">
        <f t="shared" si="1"/>
        <v>0.91298701298701679</v>
      </c>
      <c r="L22" s="348">
        <f t="shared" si="3"/>
        <v>0.91298701298701679</v>
      </c>
    </row>
    <row r="23" spans="1:12" ht="16.5" customHeight="1" x14ac:dyDescent="0.3">
      <c r="A23" s="341">
        <f>IFERROR(VLOOKUP(B23,'Data Feed'!A:I,2,FALSE),"")</f>
        <v>2020</v>
      </c>
      <c r="B23" s="342" t="s">
        <v>21</v>
      </c>
      <c r="C23" s="343">
        <f>IFERROR(VLOOKUP(B23,'Data Feed'!$A$3:$I$30,8,FALSE),"")</f>
        <v>111.818</v>
      </c>
      <c r="D23" s="344">
        <f>IFERROR(VLOOKUP(B23,'Data Feed'!$A$3:$I$30,9,FALSE),"")</f>
        <v>112.544</v>
      </c>
      <c r="E23" s="345">
        <f t="shared" si="0"/>
        <v>72.599999999999909</v>
      </c>
      <c r="F23" s="345">
        <f t="shared" si="2"/>
        <v>72.599999999999909</v>
      </c>
      <c r="G23" s="346">
        <f>VLOOKUP(B23,'Margin Requirement'!$A$2:$V$29,12,FALSE)</f>
        <v>9.2802256950889053</v>
      </c>
      <c r="H23" s="346">
        <f>VLOOKUP(B23,'Margin Requirement'!$A$2:$V$29,22,FALSE)</f>
        <v>107.756</v>
      </c>
      <c r="I23" s="346">
        <f>VLOOKUP(B23,'Data Feed'!$A$3:$I$30,5,FALSE)</f>
        <v>0.60000000000002274</v>
      </c>
      <c r="J23" s="347">
        <f>VLOOKUP(B23,'ADR(30)'!$A$1:$B$30,2,FALSE)</f>
        <v>83</v>
      </c>
      <c r="K23" s="350">
        <f t="shared" si="1"/>
        <v>0.8746987951807218</v>
      </c>
      <c r="L23" s="348">
        <f t="shared" si="3"/>
        <v>0.8746987951807218</v>
      </c>
    </row>
    <row r="24" spans="1:12" ht="16.5" customHeight="1" x14ac:dyDescent="0.3">
      <c r="A24" s="341">
        <f>IFERROR(VLOOKUP(B24,'Data Feed'!A:I,2,FALSE),"")</f>
        <v>2020</v>
      </c>
      <c r="B24" s="342" t="s">
        <v>16</v>
      </c>
      <c r="C24" s="343">
        <f>IFERROR(VLOOKUP(B24,'Data Feed'!$A$3:$I$30,8,FALSE),"")</f>
        <v>0.91927000000000003</v>
      </c>
      <c r="D24" s="344">
        <f>IFERROR(VLOOKUP(B24,'Data Feed'!$A$3:$I$30,9,FALSE),"")</f>
        <v>0.92742000000000002</v>
      </c>
      <c r="E24" s="345">
        <f t="shared" si="0"/>
        <v>81.499999999999901</v>
      </c>
      <c r="F24" s="345">
        <f t="shared" si="2"/>
        <v>81.499999999999901</v>
      </c>
      <c r="G24" s="346">
        <f>VLOOKUP(B24,'Margin Requirement'!$A$2:$V$29,12,FALSE)</f>
        <v>7.3982007575757578</v>
      </c>
      <c r="H24" s="346">
        <f>VLOOKUP(B24,'Margin Requirement'!$A$2:$V$29,22,FALSE)</f>
        <v>135.16800000000001</v>
      </c>
      <c r="I24" s="346">
        <f>VLOOKUP(B24,'Data Feed'!$A$3:$I$30,5,FALSE)</f>
        <v>0.40000000000040004</v>
      </c>
      <c r="J24" s="347">
        <f>VLOOKUP(B24,'ADR(30)'!$A$1:$B$30,2,FALSE)</f>
        <v>72</v>
      </c>
      <c r="K24" s="350">
        <f t="shared" si="1"/>
        <v>1.1319444444444431</v>
      </c>
      <c r="L24" s="348">
        <f t="shared" si="3"/>
        <v>1.1319444444444431</v>
      </c>
    </row>
    <row r="25" spans="1:12" ht="16.5" customHeight="1" x14ac:dyDescent="0.3">
      <c r="A25" s="341">
        <f>IFERROR(VLOOKUP(B25,'Data Feed'!A:I,2,FALSE),"")</f>
        <v>2020</v>
      </c>
      <c r="B25" s="342" t="s">
        <v>32</v>
      </c>
      <c r="C25" s="343">
        <f>IFERROR(VLOOKUP(B25,'Data Feed'!$A$3:$I$30,8,FALSE),"")</f>
        <v>0.65137999999999996</v>
      </c>
      <c r="D25" s="344">
        <f>IFERROR(VLOOKUP(B25,'Data Feed'!$A$3:$I$30,9,FALSE),"")</f>
        <v>0.66098999999999997</v>
      </c>
      <c r="E25" s="345">
        <f t="shared" si="0"/>
        <v>96.10000000000008</v>
      </c>
      <c r="F25" s="345">
        <f t="shared" si="2"/>
        <v>96.10000000000008</v>
      </c>
      <c r="G25" s="346">
        <f>VLOOKUP(B25,'Margin Requirement'!$A$2:$V$29,12,FALSE)</f>
        <v>10.398144970937185</v>
      </c>
      <c r="H25" s="346">
        <f>VLOOKUP(B25,'Margin Requirement'!$A$2:$V$29,22,FALSE)</f>
        <v>96.171000000000006</v>
      </c>
      <c r="I25" s="346">
        <f>VLOOKUP(B25,'Data Feed'!$A$3:$I$30,5,FALSE)</f>
        <v>0.39999999999928981</v>
      </c>
      <c r="J25" s="347">
        <f>VLOOKUP(B25,'ADR(30)'!$A$1:$B$30,2,FALSE)</f>
        <v>79</v>
      </c>
      <c r="K25" s="350">
        <f t="shared" si="1"/>
        <v>1.2164556962025326</v>
      </c>
      <c r="L25" s="348">
        <f t="shared" si="3"/>
        <v>1.2164556962025326</v>
      </c>
    </row>
    <row r="26" spans="1:12" ht="16.5" customHeight="1" x14ac:dyDescent="0.3">
      <c r="A26" s="341">
        <f>IFERROR(VLOOKUP(B26,'Data Feed'!A:I,2,FALSE),"")</f>
        <v>2020</v>
      </c>
      <c r="B26" s="342" t="s">
        <v>9</v>
      </c>
      <c r="C26" s="343">
        <f>IFERROR(VLOOKUP(B26,'Data Feed'!$A$3:$I$30,8,FALSE),"")</f>
        <v>1.07894</v>
      </c>
      <c r="D26" s="344">
        <f>IFERROR(VLOOKUP(B26,'Data Feed'!$A$3:$I$30,9,FALSE),"")</f>
        <v>1.0880700000000001</v>
      </c>
      <c r="E26" s="345">
        <f t="shared" si="0"/>
        <v>91.300000000000821</v>
      </c>
      <c r="F26" s="345">
        <f t="shared" si="2"/>
        <v>91.300000000000821</v>
      </c>
      <c r="G26" s="346">
        <f>VLOOKUP(B26,'Margin Requirement'!$A$2:$V$29,12,FALSE)</f>
        <v>6.3143000000000002</v>
      </c>
      <c r="H26" s="346">
        <f>VLOOKUP(B26,'Margin Requirement'!$A$2:$V$29,22,FALSE)</f>
        <v>63.143000000000001</v>
      </c>
      <c r="I26" s="346">
        <f>VLOOKUP(B26,'Data Feed'!$A$3:$I$30,5,FALSE)</f>
        <v>0.70000000000014495</v>
      </c>
      <c r="J26" s="347">
        <f>VLOOKUP(B26,'ADR(30)'!$A$1:$B$30,2,FALSE)</f>
        <v>66</v>
      </c>
      <c r="K26" s="350">
        <f t="shared" si="1"/>
        <v>1.3833333333333457</v>
      </c>
      <c r="L26" s="348">
        <f t="shared" si="3"/>
        <v>1.3833333333333457</v>
      </c>
    </row>
    <row r="27" spans="1:12" ht="16.5" customHeight="1" x14ac:dyDescent="0.3">
      <c r="A27" s="341">
        <f>IFERROR(VLOOKUP(B27,'Data Feed'!A:I,2,FALSE),"")</f>
        <v>2020</v>
      </c>
      <c r="B27" s="342" t="s">
        <v>13</v>
      </c>
      <c r="C27" s="343">
        <f>IFERROR(VLOOKUP(B27,'Data Feed'!$A$3:$I$30,8,FALSE),"")</f>
        <v>0.84818000000000005</v>
      </c>
      <c r="D27" s="344">
        <f>IFERROR(VLOOKUP(B27,'Data Feed'!$A$3:$I$30,9,FALSE),"")</f>
        <v>0.85543000000000002</v>
      </c>
      <c r="E27" s="345">
        <f t="shared" si="0"/>
        <v>72.499999999999787</v>
      </c>
      <c r="F27" s="345">
        <f t="shared" si="2"/>
        <v>72.499999999999787</v>
      </c>
      <c r="G27" s="346">
        <f>VLOOKUP(B27,'Margin Requirement'!$A$2:$V$29,12,FALSE)</f>
        <v>7.3982007575757578</v>
      </c>
      <c r="H27" s="346">
        <f>VLOOKUP(B27,'Margin Requirement'!$A$2:$V$29,22,FALSE)</f>
        <v>135.16800000000001</v>
      </c>
      <c r="I27" s="346">
        <f>VLOOKUP(B27,'Data Feed'!$A$3:$I$30,5,FALSE)</f>
        <v>0.79999999999968985</v>
      </c>
      <c r="J27" s="347">
        <f>VLOOKUP(B27,'ADR(30)'!$A$1:$B$30,2,FALSE)</f>
        <v>76</v>
      </c>
      <c r="K27" s="350">
        <f t="shared" si="1"/>
        <v>0.95394736842104988</v>
      </c>
      <c r="L27" s="348">
        <f t="shared" si="3"/>
        <v>0.95394736842104988</v>
      </c>
    </row>
    <row r="28" spans="1:12" ht="16.5" customHeight="1" x14ac:dyDescent="0.3">
      <c r="A28" s="341">
        <f>IFERROR(VLOOKUP(B28,'Data Feed'!A:I,2,FALSE),"")</f>
        <v>2020</v>
      </c>
      <c r="B28" s="342" t="s">
        <v>28</v>
      </c>
      <c r="C28" s="343">
        <f>IFERROR(VLOOKUP(B28,'Data Feed'!$A$3:$I$30,8,FALSE),"")</f>
        <v>0.60136999999999996</v>
      </c>
      <c r="D28" s="344">
        <f>IFERROR(VLOOKUP(B28,'Data Feed'!$A$3:$I$30,9,FALSE),"")</f>
        <v>0.60785999999999996</v>
      </c>
      <c r="E28" s="345">
        <f t="shared" si="0"/>
        <v>64.899999999999963</v>
      </c>
      <c r="F28" s="345">
        <f t="shared" si="2"/>
        <v>64.899999999999963</v>
      </c>
      <c r="G28" s="346">
        <f>VLOOKUP(B28,'Margin Requirement'!$A$2:$V$29,12,FALSE)</f>
        <v>10.398144970937185</v>
      </c>
      <c r="H28" s="346">
        <f>VLOOKUP(B28,'Margin Requirement'!$A$2:$V$29,22,FALSE)</f>
        <v>96.171000000000006</v>
      </c>
      <c r="I28" s="346">
        <f>VLOOKUP(B28,'Data Feed'!$A$3:$I$30,5,FALSE)</f>
        <v>0.20000000000020002</v>
      </c>
      <c r="J28" s="347">
        <f>VLOOKUP(B28,'ADR(30)'!$A$1:$B$30,2,FALSE)</f>
        <v>73</v>
      </c>
      <c r="K28" s="350">
        <f t="shared" si="1"/>
        <v>0.88904109589041047</v>
      </c>
      <c r="L28" s="348">
        <f t="shared" si="3"/>
        <v>0.88904109589041047</v>
      </c>
    </row>
    <row r="29" spans="1:12" ht="16.5" customHeight="1" x14ac:dyDescent="0.3">
      <c r="A29" s="341">
        <f>IFERROR(VLOOKUP(B29,'Data Feed'!A:I,2,FALSE),"")</f>
        <v>2020</v>
      </c>
      <c r="B29" s="342" t="s">
        <v>31</v>
      </c>
      <c r="C29" s="343">
        <f>IFERROR(VLOOKUP(B29,'Data Feed'!$A$3:$I$30,8,FALSE),"")</f>
        <v>0.70684999999999998</v>
      </c>
      <c r="D29" s="344">
        <f>IFERROR(VLOOKUP(B29,'Data Feed'!$A$3:$I$30,9,FALSE),"")</f>
        <v>0.71286000000000005</v>
      </c>
      <c r="E29" s="345">
        <f t="shared" si="0"/>
        <v>60.100000000000705</v>
      </c>
      <c r="F29" s="345">
        <f t="shared" si="2"/>
        <v>60.100000000000705</v>
      </c>
      <c r="G29" s="346">
        <f>VLOOKUP(B29,'Margin Requirement'!$A$2:$V$29,12,FALSE)</f>
        <v>10.398144970937185</v>
      </c>
      <c r="H29" s="346">
        <f>VLOOKUP(B29,'Margin Requirement'!$A$2:$V$29,22,FALSE)</f>
        <v>96.171000000000006</v>
      </c>
      <c r="I29" s="346">
        <f>VLOOKUP(B29,'Data Feed'!$A$3:$I$30,5,FALSE)</f>
        <v>0.20000000000020002</v>
      </c>
      <c r="J29" s="347">
        <f>VLOOKUP(B29,'ADR(30)'!$A$1:$B$30,2,FALSE)</f>
        <v>68</v>
      </c>
      <c r="K29" s="350">
        <f t="shared" si="1"/>
        <v>0.88382352941177511</v>
      </c>
      <c r="L29" s="348">
        <f t="shared" si="3"/>
        <v>0.88382352941177511</v>
      </c>
    </row>
    <row r="30" spans="1:12" ht="16.5" customHeight="1" x14ac:dyDescent="0.3">
      <c r="B30" s="38"/>
      <c r="C30" s="38"/>
      <c r="H30" s="40" t="s">
        <v>102</v>
      </c>
    </row>
    <row r="31" spans="1:12" ht="16.5" customHeight="1" x14ac:dyDescent="0.3">
      <c r="B31" s="38"/>
      <c r="C31" s="38"/>
      <c r="H31" s="40">
        <f>'Margin Requirement'!Y2</f>
        <v>0.1</v>
      </c>
    </row>
    <row r="32" spans="1:12" ht="16.5" customHeight="1" x14ac:dyDescent="0.3">
      <c r="B32" s="38"/>
      <c r="C32" s="38"/>
      <c r="D32" s="114"/>
    </row>
    <row r="33" spans="1:4" ht="16.5" customHeight="1" x14ac:dyDescent="0.3">
      <c r="B33" s="38"/>
      <c r="C33" s="38"/>
      <c r="D33" s="114"/>
    </row>
    <row r="36" spans="1:4" ht="16.5" customHeight="1" x14ac:dyDescent="0.3">
      <c r="A36" s="123"/>
    </row>
  </sheetData>
  <mergeCells count="3">
    <mergeCell ref="N3:O3"/>
    <mergeCell ref="E1:F1"/>
    <mergeCell ref="K1:L1"/>
  </mergeCells>
  <conditionalFormatting sqref="A31">
    <cfRule type="containsText" dxfId="6" priority="17" operator="containsText" text="Pair Specs">
      <formula>NOT(ISERROR(SEARCH("Pair Specs",A31)))</formula>
    </cfRule>
    <cfRule type="containsText" dxfId="5" priority="18" operator="containsText" text="DDE">
      <formula>NOT(ISERROR(SEARCH("DDE",A31)))</formula>
    </cfRule>
  </conditionalFormatting>
  <conditionalFormatting sqref="F2:F1048576">
    <cfRule type="dataBar" priority="2">
      <dataBar showValue="0">
        <cfvo type="min"/>
        <cfvo type="max"/>
        <color rgb="FF63C384"/>
      </dataBar>
      <extLst>
        <ext xmlns:x14="http://schemas.microsoft.com/office/spreadsheetml/2009/9/main" uri="{B025F937-C7B1-47D3-B67F-A62EFF666E3E}">
          <x14:id>{B58266F0-17E0-44C0-A4EB-CC9A1D8527A4}</x14:id>
        </ext>
      </extLst>
    </cfRule>
  </conditionalFormatting>
  <conditionalFormatting sqref="L2:L29">
    <cfRule type="dataBar" priority="1">
      <dataBar showValue="0">
        <cfvo type="min"/>
        <cfvo type="max"/>
        <color rgb="FFFF555A"/>
      </dataBar>
      <extLst>
        <ext xmlns:x14="http://schemas.microsoft.com/office/spreadsheetml/2009/9/main" uri="{B025F937-C7B1-47D3-B67F-A62EFF666E3E}">
          <x14:id>{063DBB20-01F7-4D81-9D80-C1E26BB622E6}</x14:id>
        </ext>
      </extLst>
    </cfRule>
  </conditionalFormatting>
  <conditionalFormatting sqref="E2:E29">
    <cfRule type="cellIs" dxfId="4" priority="142" operator="lessThan">
      <formula>$O$5</formula>
    </cfRule>
    <cfRule type="cellIs" dxfId="3" priority="143" operator="greaterThan">
      <formula>$O$4</formula>
    </cfRule>
  </conditionalFormatting>
  <conditionalFormatting sqref="I2:I29">
    <cfRule type="cellIs" dxfId="2" priority="144" operator="lessThan">
      <formula>$O$6</formula>
    </cfRule>
    <cfRule type="cellIs" dxfId="1" priority="145" operator="greaterThan">
      <formula>$O$7</formula>
    </cfRule>
  </conditionalFormatting>
  <conditionalFormatting sqref="K2:K29">
    <cfRule type="cellIs" dxfId="0" priority="146" operator="greaterThan">
      <formula>$O$8</formula>
    </cfRule>
  </conditionalFormatting>
  <pageMargins left="0.7" right="0.7" top="0.75" bottom="0.75" header="0.3" footer="0.3"/>
  <pageSetup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58266F0-17E0-44C0-A4EB-CC9A1D8527A4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F2:F1048576</xm:sqref>
        </x14:conditionalFormatting>
        <x14:conditionalFormatting xmlns:xm="http://schemas.microsoft.com/office/excel/2006/main">
          <x14:cfRule type="dataBar" id="{063DBB20-01F7-4D81-9D80-C1E26BB622E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L2:L29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8"/>
  <sheetViews>
    <sheetView workbookViewId="0">
      <selection sqref="A1:B28"/>
    </sheetView>
  </sheetViews>
  <sheetFormatPr defaultRowHeight="14.4" x14ac:dyDescent="0.3"/>
  <sheetData>
    <row r="1" spans="1:2" x14ac:dyDescent="0.3">
      <c r="A1" t="s">
        <v>16</v>
      </c>
      <c r="B1">
        <v>72</v>
      </c>
    </row>
    <row r="2" spans="1:2" x14ac:dyDescent="0.3">
      <c r="A2" t="s">
        <v>32</v>
      </c>
      <c r="B2">
        <v>79</v>
      </c>
    </row>
    <row r="3" spans="1:2" x14ac:dyDescent="0.3">
      <c r="A3" t="s">
        <v>23</v>
      </c>
      <c r="B3">
        <v>91</v>
      </c>
    </row>
    <row r="4" spans="1:2" x14ac:dyDescent="0.3">
      <c r="A4" t="s">
        <v>9</v>
      </c>
      <c r="B4">
        <v>66</v>
      </c>
    </row>
    <row r="5" spans="1:2" x14ac:dyDescent="0.3">
      <c r="A5" t="s">
        <v>26</v>
      </c>
      <c r="B5">
        <v>86</v>
      </c>
    </row>
    <row r="6" spans="1:2" x14ac:dyDescent="0.3">
      <c r="A6" t="s">
        <v>31</v>
      </c>
      <c r="B6">
        <v>68</v>
      </c>
    </row>
    <row r="7" spans="1:2" x14ac:dyDescent="0.3">
      <c r="A7" t="s">
        <v>22</v>
      </c>
      <c r="B7">
        <v>77</v>
      </c>
    </row>
    <row r="8" spans="1:2" x14ac:dyDescent="0.3">
      <c r="A8" t="s">
        <v>21</v>
      </c>
      <c r="B8">
        <v>83</v>
      </c>
    </row>
    <row r="9" spans="1:2" x14ac:dyDescent="0.3">
      <c r="A9" t="s">
        <v>11</v>
      </c>
      <c r="B9">
        <v>187</v>
      </c>
    </row>
    <row r="10" spans="1:2" x14ac:dyDescent="0.3">
      <c r="A10" t="s">
        <v>15</v>
      </c>
      <c r="B10">
        <v>133</v>
      </c>
    </row>
    <row r="11" spans="1:2" x14ac:dyDescent="0.3">
      <c r="A11" t="s">
        <v>30</v>
      </c>
      <c r="B11">
        <v>44</v>
      </c>
    </row>
    <row r="12" spans="1:2" x14ac:dyDescent="0.3">
      <c r="A12" t="s">
        <v>33</v>
      </c>
      <c r="B12">
        <v>69</v>
      </c>
    </row>
    <row r="13" spans="1:2" x14ac:dyDescent="0.3">
      <c r="A13" t="s">
        <v>20</v>
      </c>
      <c r="B13">
        <v>93</v>
      </c>
    </row>
    <row r="14" spans="1:2" x14ac:dyDescent="0.3">
      <c r="A14" t="s">
        <v>8</v>
      </c>
      <c r="B14">
        <v>198</v>
      </c>
    </row>
    <row r="15" spans="1:2" x14ac:dyDescent="0.3">
      <c r="A15" t="s">
        <v>6</v>
      </c>
      <c r="B15">
        <v>79</v>
      </c>
    </row>
    <row r="16" spans="1:2" x14ac:dyDescent="0.3">
      <c r="A16" t="s">
        <v>10</v>
      </c>
      <c r="B16">
        <v>176</v>
      </c>
    </row>
    <row r="17" spans="1:2" x14ac:dyDescent="0.3">
      <c r="A17" t="s">
        <v>14</v>
      </c>
      <c r="B17">
        <v>139</v>
      </c>
    </row>
    <row r="18" spans="1:2" x14ac:dyDescent="0.3">
      <c r="A18" t="s">
        <v>29</v>
      </c>
      <c r="B18">
        <v>107</v>
      </c>
    </row>
    <row r="19" spans="1:2" x14ac:dyDescent="0.3">
      <c r="A19" t="s">
        <v>19</v>
      </c>
      <c r="B19">
        <v>136</v>
      </c>
    </row>
    <row r="20" spans="1:2" x14ac:dyDescent="0.3">
      <c r="A20" t="s">
        <v>7</v>
      </c>
      <c r="B20">
        <v>186</v>
      </c>
    </row>
    <row r="21" spans="1:2" x14ac:dyDescent="0.3">
      <c r="A21" t="s">
        <v>25</v>
      </c>
      <c r="B21">
        <v>117</v>
      </c>
    </row>
    <row r="22" spans="1:2" x14ac:dyDescent="0.3">
      <c r="A22" t="s">
        <v>13</v>
      </c>
      <c r="B22">
        <v>76</v>
      </c>
    </row>
    <row r="23" spans="1:2" x14ac:dyDescent="0.3">
      <c r="A23" t="s">
        <v>28</v>
      </c>
      <c r="B23">
        <v>73</v>
      </c>
    </row>
    <row r="24" spans="1:2" x14ac:dyDescent="0.3">
      <c r="A24" t="s">
        <v>18</v>
      </c>
      <c r="B24">
        <v>85</v>
      </c>
    </row>
    <row r="25" spans="1:2" x14ac:dyDescent="0.3">
      <c r="A25" t="s">
        <v>24</v>
      </c>
      <c r="B25">
        <v>80</v>
      </c>
    </row>
    <row r="26" spans="1:2" x14ac:dyDescent="0.3">
      <c r="A26" t="s">
        <v>12</v>
      </c>
      <c r="B26">
        <v>125</v>
      </c>
    </row>
    <row r="27" spans="1:2" x14ac:dyDescent="0.3">
      <c r="A27" t="s">
        <v>27</v>
      </c>
      <c r="B27">
        <v>63</v>
      </c>
    </row>
    <row r="28" spans="1:2" x14ac:dyDescent="0.3">
      <c r="A28" t="s">
        <v>17</v>
      </c>
      <c r="B28">
        <v>60</v>
      </c>
    </row>
  </sheetData>
  <sortState ref="A1:B28">
    <sortCondition descending="1" ref="B1:B28"/>
  </sortState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29"/>
  <sheetViews>
    <sheetView workbookViewId="0">
      <selection activeCell="J5" sqref="J5"/>
    </sheetView>
  </sheetViews>
  <sheetFormatPr defaultColWidth="23.44140625" defaultRowHeight="18" x14ac:dyDescent="0.35"/>
  <cols>
    <col min="1" max="1" width="9.44140625" style="254" customWidth="1"/>
    <col min="2" max="2" width="37.109375" style="254" customWidth="1"/>
    <col min="3" max="3" width="29" style="254" customWidth="1"/>
    <col min="4" max="4" width="4.44140625" style="267" customWidth="1"/>
    <col min="5" max="5" width="17.88671875" style="282" customWidth="1"/>
    <col min="6" max="6" width="15.44140625" style="279" customWidth="1"/>
    <col min="7" max="7" width="24.33203125" style="253" customWidth="1"/>
    <col min="8" max="8" width="13.33203125" style="253" customWidth="1"/>
    <col min="9" max="16384" width="23.44140625" style="254"/>
  </cols>
  <sheetData>
    <row r="2" spans="2:8" x14ac:dyDescent="0.35">
      <c r="B2" s="263"/>
      <c r="C2" s="263"/>
      <c r="E2" s="276" t="s">
        <v>110</v>
      </c>
      <c r="F2" s="328" t="s">
        <v>140</v>
      </c>
      <c r="G2" s="328"/>
      <c r="H2" s="328"/>
    </row>
    <row r="3" spans="2:8" s="256" customFormat="1" ht="31.2" customHeight="1" x14ac:dyDescent="0.3">
      <c r="B3" s="264" t="s">
        <v>89</v>
      </c>
      <c r="C3" s="266">
        <f>'DDE Live Data'!B2</f>
        <v>2020</v>
      </c>
      <c r="D3" s="268"/>
      <c r="E3" s="280">
        <f>C3-C7</f>
        <v>0.125</v>
      </c>
      <c r="F3" s="277"/>
      <c r="G3" s="273"/>
      <c r="H3" s="273"/>
    </row>
    <row r="4" spans="2:8" s="256" customFormat="1" ht="31.2" customHeight="1" x14ac:dyDescent="0.3">
      <c r="B4" s="259" t="s">
        <v>108</v>
      </c>
      <c r="C4" s="260">
        <f ca="1">NOW()</f>
        <v>43984.781427430557</v>
      </c>
      <c r="D4" s="269"/>
      <c r="E4" s="280"/>
      <c r="F4" s="277"/>
      <c r="G4" s="273"/>
      <c r="H4" s="273"/>
    </row>
    <row r="5" spans="2:8" s="256" customFormat="1" ht="31.2" customHeight="1" x14ac:dyDescent="0.3">
      <c r="B5" s="259" t="s">
        <v>109</v>
      </c>
      <c r="C5" s="261">
        <f ca="1">C4-C3</f>
        <v>41964.781427430557</v>
      </c>
      <c r="D5" s="270"/>
      <c r="E5" s="280"/>
      <c r="F5" s="277"/>
      <c r="G5" s="273"/>
      <c r="H5" s="273"/>
    </row>
    <row r="6" spans="2:8" ht="25.2" customHeight="1" x14ac:dyDescent="0.35">
      <c r="E6" s="281"/>
      <c r="F6" s="278"/>
      <c r="G6" s="274"/>
      <c r="H6" s="274"/>
    </row>
    <row r="7" spans="2:8" s="256" customFormat="1" ht="25.05" customHeight="1" x14ac:dyDescent="0.3">
      <c r="B7" s="265" t="s">
        <v>141</v>
      </c>
      <c r="C7" s="262">
        <f>C3-3/24</f>
        <v>2019.875</v>
      </c>
      <c r="D7" s="269"/>
      <c r="E7" s="280">
        <v>0</v>
      </c>
      <c r="F7" s="277"/>
      <c r="G7" s="273"/>
      <c r="H7" s="273"/>
    </row>
    <row r="8" spans="2:8" s="256" customFormat="1" ht="25.05" customHeight="1" x14ac:dyDescent="0.3">
      <c r="B8" s="257" t="s">
        <v>113</v>
      </c>
      <c r="C8" s="258">
        <f>$C$7+10/24</f>
        <v>2020.2916666666667</v>
      </c>
      <c r="D8" s="269"/>
      <c r="E8" s="280">
        <f>C8-$C$7</f>
        <v>0.41666666666674246</v>
      </c>
      <c r="F8" s="277" t="s">
        <v>121</v>
      </c>
      <c r="G8" s="273" t="s">
        <v>123</v>
      </c>
      <c r="H8" s="273" t="s">
        <v>124</v>
      </c>
    </row>
    <row r="9" spans="2:8" s="256" customFormat="1" ht="25.05" customHeight="1" x14ac:dyDescent="0.3">
      <c r="B9" s="257"/>
      <c r="C9" s="258"/>
      <c r="D9" s="269"/>
      <c r="E9" s="280"/>
      <c r="F9" s="277"/>
      <c r="G9" s="273" t="s">
        <v>125</v>
      </c>
      <c r="H9" s="273" t="s">
        <v>126</v>
      </c>
    </row>
    <row r="10" spans="2:8" s="256" customFormat="1" ht="25.05" customHeight="1" x14ac:dyDescent="0.3">
      <c r="B10" s="257" t="s">
        <v>114</v>
      </c>
      <c r="C10" s="258">
        <f>$C$7+9/24</f>
        <v>2020.25</v>
      </c>
      <c r="D10" s="269"/>
      <c r="E10" s="280">
        <f t="shared" ref="E10:E15" si="0">C10-$C$7</f>
        <v>0.375</v>
      </c>
      <c r="F10" s="277" t="s">
        <v>122</v>
      </c>
      <c r="G10" s="273"/>
      <c r="H10" s="273"/>
    </row>
    <row r="11" spans="2:8" s="256" customFormat="1" ht="25.05" customHeight="1" x14ac:dyDescent="0.3">
      <c r="B11" s="257" t="s">
        <v>111</v>
      </c>
      <c r="C11" s="258">
        <f>$C$7+8/24</f>
        <v>2020.2083333333333</v>
      </c>
      <c r="D11" s="269"/>
      <c r="E11" s="280">
        <f t="shared" si="0"/>
        <v>0.33333333333325754</v>
      </c>
      <c r="F11" s="277" t="s">
        <v>122</v>
      </c>
      <c r="G11" s="273"/>
      <c r="H11" s="273"/>
    </row>
    <row r="12" spans="2:8" s="256" customFormat="1" ht="25.05" customHeight="1" x14ac:dyDescent="0.3">
      <c r="B12" s="257" t="s">
        <v>112</v>
      </c>
      <c r="C12" s="258">
        <f>$C$7+8/24</f>
        <v>2020.2083333333333</v>
      </c>
      <c r="D12" s="269"/>
      <c r="E12" s="280">
        <f t="shared" si="0"/>
        <v>0.33333333333325754</v>
      </c>
      <c r="F12" s="277" t="s">
        <v>122</v>
      </c>
      <c r="G12" s="273"/>
      <c r="H12" s="273"/>
    </row>
    <row r="13" spans="2:8" s="256" customFormat="1" ht="25.05" customHeight="1" x14ac:dyDescent="0.3">
      <c r="B13" s="257" t="s">
        <v>115</v>
      </c>
      <c r="C13" s="258">
        <f>$C$7+4/24</f>
        <v>2020.0416666666667</v>
      </c>
      <c r="D13" s="269"/>
      <c r="E13" s="280">
        <f t="shared" si="0"/>
        <v>0.16666666666674246</v>
      </c>
      <c r="F13" s="277" t="s">
        <v>122</v>
      </c>
      <c r="G13" s="273"/>
      <c r="H13" s="273"/>
    </row>
    <row r="14" spans="2:8" s="256" customFormat="1" ht="25.05" customHeight="1" x14ac:dyDescent="0.3">
      <c r="B14" s="257" t="s">
        <v>118</v>
      </c>
      <c r="C14" s="258">
        <f>$C$7+3/24</f>
        <v>2020</v>
      </c>
      <c r="D14" s="269"/>
      <c r="E14" s="280">
        <f t="shared" si="0"/>
        <v>0.125</v>
      </c>
      <c r="F14" s="277" t="s">
        <v>122</v>
      </c>
      <c r="G14" s="273"/>
      <c r="H14" s="273"/>
    </row>
    <row r="15" spans="2:8" s="256" customFormat="1" ht="25.05" customHeight="1" x14ac:dyDescent="0.3">
      <c r="B15" s="257" t="s">
        <v>116</v>
      </c>
      <c r="C15" s="258">
        <f>$C$7+2/24</f>
        <v>2019.9583333333333</v>
      </c>
      <c r="D15" s="269"/>
      <c r="E15" s="280">
        <f t="shared" si="0"/>
        <v>8.3333333333257542E-2</v>
      </c>
      <c r="F15" s="277" t="s">
        <v>121</v>
      </c>
      <c r="G15" s="273" t="s">
        <v>127</v>
      </c>
      <c r="H15" s="273" t="s">
        <v>128</v>
      </c>
    </row>
    <row r="16" spans="2:8" s="256" customFormat="1" ht="25.05" customHeight="1" x14ac:dyDescent="0.3">
      <c r="B16" s="257"/>
      <c r="C16" s="258"/>
      <c r="D16" s="269"/>
      <c r="E16" s="280"/>
      <c r="F16" s="277"/>
      <c r="G16" s="273" t="s">
        <v>129</v>
      </c>
      <c r="H16" s="273" t="s">
        <v>130</v>
      </c>
    </row>
    <row r="17" spans="2:8" s="256" customFormat="1" ht="25.05" customHeight="1" x14ac:dyDescent="0.3">
      <c r="B17" s="257" t="s">
        <v>117</v>
      </c>
      <c r="C17" s="258">
        <f>$C$7+1/24</f>
        <v>2019.9166666666667</v>
      </c>
      <c r="D17" s="269"/>
      <c r="E17" s="280">
        <f>C17-$C$7</f>
        <v>4.1666666666742458E-2</v>
      </c>
      <c r="F17" s="277" t="s">
        <v>121</v>
      </c>
      <c r="G17" s="273" t="s">
        <v>131</v>
      </c>
      <c r="H17" s="273" t="s">
        <v>130</v>
      </c>
    </row>
    <row r="18" spans="2:8" s="256" customFormat="1" ht="25.05" customHeight="1" x14ac:dyDescent="0.3">
      <c r="B18" s="257"/>
      <c r="C18" s="258"/>
      <c r="D18" s="269"/>
      <c r="E18" s="280"/>
      <c r="F18" s="277"/>
      <c r="G18" s="273" t="s">
        <v>132</v>
      </c>
      <c r="H18" s="273" t="s">
        <v>133</v>
      </c>
    </row>
    <row r="19" spans="2:8" s="256" customFormat="1" ht="25.05" customHeight="1" x14ac:dyDescent="0.3">
      <c r="B19" s="257" t="s">
        <v>119</v>
      </c>
      <c r="C19" s="258">
        <f>$C$7-4/24</f>
        <v>2019.7083333333333</v>
      </c>
      <c r="D19" s="269"/>
      <c r="E19" s="280"/>
      <c r="F19" s="277" t="s">
        <v>121</v>
      </c>
      <c r="G19" s="273" t="s">
        <v>134</v>
      </c>
      <c r="H19" s="273" t="s">
        <v>135</v>
      </c>
    </row>
    <row r="20" spans="2:8" s="256" customFormat="1" ht="25.05" customHeight="1" x14ac:dyDescent="0.3">
      <c r="B20" s="257"/>
      <c r="C20" s="258"/>
      <c r="D20" s="269"/>
      <c r="E20" s="280"/>
      <c r="F20" s="277"/>
      <c r="G20" s="273" t="s">
        <v>136</v>
      </c>
      <c r="H20" s="273" t="s">
        <v>137</v>
      </c>
    </row>
    <row r="21" spans="2:8" s="256" customFormat="1" ht="25.05" customHeight="1" x14ac:dyDescent="0.3">
      <c r="B21" s="257" t="s">
        <v>120</v>
      </c>
      <c r="C21" s="258">
        <f>$C$7-7/24</f>
        <v>2019.5833333333333</v>
      </c>
      <c r="D21" s="269"/>
      <c r="E21" s="280"/>
      <c r="F21" s="277" t="s">
        <v>121</v>
      </c>
      <c r="G21" s="273" t="s">
        <v>134</v>
      </c>
      <c r="H21" s="273" t="s">
        <v>138</v>
      </c>
    </row>
    <row r="22" spans="2:8" ht="21" x14ac:dyDescent="0.35">
      <c r="B22" s="257"/>
      <c r="C22" s="258"/>
      <c r="D22" s="271"/>
      <c r="E22" s="280"/>
      <c r="F22" s="275"/>
      <c r="G22" s="272" t="s">
        <v>136</v>
      </c>
      <c r="H22" s="272" t="s">
        <v>139</v>
      </c>
    </row>
    <row r="23" spans="2:8" x14ac:dyDescent="0.35">
      <c r="C23" s="255"/>
      <c r="D23" s="271"/>
    </row>
    <row r="24" spans="2:8" x14ac:dyDescent="0.35">
      <c r="C24" s="255"/>
      <c r="D24" s="271"/>
    </row>
    <row r="25" spans="2:8" x14ac:dyDescent="0.35">
      <c r="C25" s="255"/>
      <c r="D25" s="271"/>
    </row>
    <row r="26" spans="2:8" x14ac:dyDescent="0.35">
      <c r="C26" s="255"/>
      <c r="D26" s="271"/>
    </row>
    <row r="27" spans="2:8" x14ac:dyDescent="0.35">
      <c r="C27" s="255"/>
      <c r="D27" s="271"/>
    </row>
    <row r="28" spans="2:8" x14ac:dyDescent="0.35">
      <c r="C28" s="255"/>
      <c r="D28" s="271"/>
    </row>
    <row r="29" spans="2:8" x14ac:dyDescent="0.35">
      <c r="C29" s="255"/>
      <c r="D29" s="271"/>
    </row>
  </sheetData>
  <mergeCells count="1">
    <mergeCell ref="F2:H2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CC1E9B5-1836-436A-B4CA-27A39CDDF0A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Dashboard</vt:lpstr>
      <vt:lpstr>DDE Live Data</vt:lpstr>
      <vt:lpstr>Data Feed</vt:lpstr>
      <vt:lpstr>Pip Values</vt:lpstr>
      <vt:lpstr>Margin Requirement</vt:lpstr>
      <vt:lpstr>Pip Calculator</vt:lpstr>
      <vt:lpstr>Market Range</vt:lpstr>
      <vt:lpstr>ADR(30)</vt:lpstr>
      <vt:lpstr>Time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RMS</dc:creator>
  <cp:lastModifiedBy>Shanmugam Ganeshkumar</cp:lastModifiedBy>
  <cp:lastPrinted>2020-05-17T15:22:46Z</cp:lastPrinted>
  <dcterms:created xsi:type="dcterms:W3CDTF">2015-06-05T18:17:20Z</dcterms:created>
  <dcterms:modified xsi:type="dcterms:W3CDTF">2020-06-02T10:45:16Z</dcterms:modified>
</cp:coreProperties>
</file>