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always" codeName="ThisWorkbook" hidePivotFieldList="1"/>
  <bookViews>
    <workbookView xWindow="-108" yWindow="-108" windowWidth="23256" windowHeight="13176" tabRatio="795" activeTab="5"/>
  </bookViews>
  <sheets>
    <sheet name="Dashboard" sheetId="88" r:id="rId1"/>
    <sheet name="DDE Live Data" sheetId="81" r:id="rId2"/>
    <sheet name="Data Feed" sheetId="89" r:id="rId3"/>
    <sheet name="Pip Values" sheetId="90" r:id="rId4"/>
    <sheet name="Margin Requirement" sheetId="93" r:id="rId5"/>
    <sheet name="Pip Calculator" sheetId="91" r:id="rId6"/>
    <sheet name="Market Range" sheetId="94" r:id="rId7"/>
    <sheet name="ADR(30)" sheetId="95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MasterList" localSheetId="4">#REF!</definedName>
    <definedName name="_____MasterList" localSheetId="6">#REF!</definedName>
    <definedName name="_____MasterList">#REF!</definedName>
    <definedName name="Analytics" localSheetId="4">#REF!</definedName>
    <definedName name="Analytics" localSheetId="6">#REF!</definedName>
    <definedName name="Analytics">#REF!</definedName>
    <definedName name="Category" localSheetId="0">'[1]Data List'!$Q$2:$Q$10</definedName>
    <definedName name="Category" localSheetId="4">'[1]Data List'!$Q$2:$Q$10</definedName>
    <definedName name="Category" localSheetId="6">'[1]Data List'!$Q$2:$Q$10</definedName>
    <definedName name="Category" localSheetId="3">'[1]Data List'!$Q$2:$Q$10</definedName>
    <definedName name="Category">#REF!</definedName>
    <definedName name="Data" localSheetId="4">#REF!</definedName>
    <definedName name="Data" localSheetId="6">#REF!</definedName>
    <definedName name="Data">#REF!</definedName>
    <definedName name="Indicators" localSheetId="4">#REF!</definedName>
    <definedName name="Indicators" localSheetId="6">#REF!</definedName>
    <definedName name="Indicators">#REF!</definedName>
    <definedName name="Maintenance" localSheetId="4">#REF!</definedName>
    <definedName name="Maintenance" localSheetId="6">#REF!</definedName>
    <definedName name="Maintenance">#REF!</definedName>
    <definedName name="Suite" localSheetId="4">#REF!</definedName>
    <definedName name="Suite" localSheetId="6">#REF!</definedName>
    <definedName name="Suite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94" l="1"/>
  <c r="I4" i="94"/>
  <c r="I5" i="94"/>
  <c r="I6" i="94"/>
  <c r="I7" i="94"/>
  <c r="I8" i="94"/>
  <c r="I9" i="94"/>
  <c r="I10" i="94"/>
  <c r="I11" i="94"/>
  <c r="I12" i="94"/>
  <c r="I13" i="94"/>
  <c r="I14" i="94"/>
  <c r="I15" i="94"/>
  <c r="I16" i="94"/>
  <c r="I17" i="94"/>
  <c r="I18" i="94"/>
  <c r="I19" i="94"/>
  <c r="I20" i="94"/>
  <c r="I21" i="94"/>
  <c r="I22" i="94"/>
  <c r="I23" i="94"/>
  <c r="I24" i="94"/>
  <c r="I25" i="94"/>
  <c r="I26" i="94"/>
  <c r="I27" i="94"/>
  <c r="I28" i="94"/>
  <c r="I29" i="94"/>
  <c r="I2" i="94"/>
  <c r="G31" i="94"/>
  <c r="G31" i="81" l="1"/>
  <c r="G30" i="81"/>
  <c r="G29" i="81"/>
  <c r="G28" i="81"/>
  <c r="G27" i="81"/>
  <c r="G26" i="81"/>
  <c r="G25" i="81"/>
  <c r="G24" i="81"/>
  <c r="G23" i="81"/>
  <c r="G22" i="81"/>
  <c r="G21" i="81"/>
  <c r="G20" i="81"/>
  <c r="G19" i="81"/>
  <c r="G18" i="81"/>
  <c r="G17" i="81"/>
  <c r="G16" i="81"/>
  <c r="G15" i="81"/>
  <c r="G14" i="81"/>
  <c r="G13" i="81"/>
  <c r="G12" i="81"/>
  <c r="G11" i="81"/>
  <c r="G10" i="81"/>
  <c r="G9" i="81"/>
  <c r="G8" i="81"/>
  <c r="G7" i="81"/>
  <c r="G6" i="81"/>
  <c r="G5" i="81"/>
  <c r="G4" i="81"/>
  <c r="G3" i="81"/>
  <c r="G2" i="81"/>
  <c r="F2" i="81"/>
  <c r="F31" i="81" l="1"/>
  <c r="E31" i="81"/>
  <c r="D31" i="81"/>
  <c r="C31" i="81"/>
  <c r="B31" i="81"/>
  <c r="T3" i="93" l="1"/>
  <c r="T4" i="93"/>
  <c r="T5" i="93"/>
  <c r="T6" i="93"/>
  <c r="T7" i="93"/>
  <c r="T8" i="93"/>
  <c r="T9" i="93"/>
  <c r="T10" i="93"/>
  <c r="T11" i="93"/>
  <c r="T12" i="93"/>
  <c r="T13" i="93"/>
  <c r="T14" i="93"/>
  <c r="T15" i="93"/>
  <c r="T16" i="93"/>
  <c r="T17" i="93"/>
  <c r="T18" i="93"/>
  <c r="T19" i="93"/>
  <c r="T20" i="93"/>
  <c r="T21" i="93"/>
  <c r="T22" i="93"/>
  <c r="T23" i="93"/>
  <c r="T24" i="93"/>
  <c r="T25" i="93"/>
  <c r="T26" i="93"/>
  <c r="T27" i="93"/>
  <c r="T28" i="93"/>
  <c r="T29" i="93"/>
  <c r="T2" i="93"/>
  <c r="U3" i="93" l="1"/>
  <c r="U4" i="93"/>
  <c r="U5" i="93"/>
  <c r="U6" i="93"/>
  <c r="U7" i="93"/>
  <c r="U8" i="93"/>
  <c r="U9" i="93"/>
  <c r="U10" i="93"/>
  <c r="U11" i="93"/>
  <c r="U12" i="93"/>
  <c r="U13" i="93"/>
  <c r="U14" i="93"/>
  <c r="U15" i="93"/>
  <c r="U16" i="93"/>
  <c r="U17" i="93"/>
  <c r="U18" i="93"/>
  <c r="U19" i="93"/>
  <c r="U20" i="93"/>
  <c r="U21" i="93"/>
  <c r="U22" i="93"/>
  <c r="U23" i="93"/>
  <c r="U24" i="93"/>
  <c r="U25" i="93"/>
  <c r="U26" i="93"/>
  <c r="U27" i="93"/>
  <c r="U28" i="93"/>
  <c r="U29" i="93"/>
  <c r="U2" i="93"/>
  <c r="G8" i="93"/>
  <c r="O8" i="93" s="1"/>
  <c r="F8" i="93"/>
  <c r="E8" i="93" s="1"/>
  <c r="S8" i="93" s="1"/>
  <c r="C8" i="93"/>
  <c r="I8" i="93" s="1"/>
  <c r="B8" i="93"/>
  <c r="H8" i="93" s="1"/>
  <c r="G7" i="93"/>
  <c r="O7" i="93" s="1"/>
  <c r="F7" i="93"/>
  <c r="E7" i="93" s="1"/>
  <c r="S7" i="93" s="1"/>
  <c r="C7" i="93"/>
  <c r="I7" i="93" s="1"/>
  <c r="B7" i="93"/>
  <c r="H7" i="93" s="1"/>
  <c r="G6" i="93"/>
  <c r="O6" i="93" s="1"/>
  <c r="F6" i="93"/>
  <c r="E6" i="93" s="1"/>
  <c r="S6" i="93" s="1"/>
  <c r="C6" i="93"/>
  <c r="I6" i="93" s="1"/>
  <c r="B6" i="93"/>
  <c r="H6" i="93" s="1"/>
  <c r="G5" i="93"/>
  <c r="O5" i="93" s="1"/>
  <c r="F5" i="93"/>
  <c r="E5" i="93" s="1"/>
  <c r="S5" i="93" s="1"/>
  <c r="C5" i="93"/>
  <c r="I5" i="93" s="1"/>
  <c r="B5" i="93"/>
  <c r="H5" i="93" s="1"/>
  <c r="N5" i="93" s="1"/>
  <c r="G23" i="93"/>
  <c r="F23" i="93"/>
  <c r="E23" i="93" s="1"/>
  <c r="S23" i="93" s="1"/>
  <c r="C23" i="93"/>
  <c r="I23" i="93" s="1"/>
  <c r="B23" i="93"/>
  <c r="H23" i="93" s="1"/>
  <c r="N23" i="93" s="1"/>
  <c r="G22" i="93"/>
  <c r="F22" i="93"/>
  <c r="E22" i="93" s="1"/>
  <c r="S22" i="93" s="1"/>
  <c r="C22" i="93"/>
  <c r="I22" i="93" s="1"/>
  <c r="B22" i="93"/>
  <c r="H22" i="93" s="1"/>
  <c r="N22" i="93" s="1"/>
  <c r="G21" i="93"/>
  <c r="F21" i="93"/>
  <c r="E21" i="93" s="1"/>
  <c r="S21" i="93" s="1"/>
  <c r="C21" i="93"/>
  <c r="I21" i="93" s="1"/>
  <c r="B21" i="93"/>
  <c r="H21" i="93" s="1"/>
  <c r="N21" i="93" s="1"/>
  <c r="G4" i="93"/>
  <c r="O4" i="93" s="1"/>
  <c r="F4" i="93"/>
  <c r="E4" i="93" s="1"/>
  <c r="S4" i="93" s="1"/>
  <c r="C4" i="93"/>
  <c r="I4" i="93" s="1"/>
  <c r="B4" i="93"/>
  <c r="H4" i="93" s="1"/>
  <c r="N4" i="93" s="1"/>
  <c r="G29" i="93"/>
  <c r="F29" i="93"/>
  <c r="E29" i="93" s="1"/>
  <c r="S29" i="93" s="1"/>
  <c r="C29" i="93"/>
  <c r="I29" i="93" s="1"/>
  <c r="B29" i="93"/>
  <c r="H29" i="93" s="1"/>
  <c r="N29" i="93" s="1"/>
  <c r="G20" i="93"/>
  <c r="F20" i="93"/>
  <c r="E20" i="93" s="1"/>
  <c r="S20" i="93" s="1"/>
  <c r="C20" i="93"/>
  <c r="I20" i="93" s="1"/>
  <c r="B20" i="93"/>
  <c r="H20" i="93" s="1"/>
  <c r="N20" i="93" s="1"/>
  <c r="G19" i="93"/>
  <c r="F19" i="93"/>
  <c r="E19" i="93" s="1"/>
  <c r="S19" i="93" s="1"/>
  <c r="C19" i="93"/>
  <c r="I19" i="93" s="1"/>
  <c r="B19" i="93"/>
  <c r="H19" i="93" s="1"/>
  <c r="N19" i="93" s="1"/>
  <c r="G18" i="93"/>
  <c r="F18" i="93"/>
  <c r="E18" i="93" s="1"/>
  <c r="S18" i="93" s="1"/>
  <c r="C18" i="93"/>
  <c r="I18" i="93" s="1"/>
  <c r="B18" i="93"/>
  <c r="H18" i="93" s="1"/>
  <c r="N18" i="93" s="1"/>
  <c r="G28" i="93"/>
  <c r="F28" i="93"/>
  <c r="E28" i="93" s="1"/>
  <c r="S28" i="93" s="1"/>
  <c r="C28" i="93"/>
  <c r="I28" i="93" s="1"/>
  <c r="B28" i="93"/>
  <c r="H28" i="93" s="1"/>
  <c r="N28" i="93" s="1"/>
  <c r="G3" i="93"/>
  <c r="O3" i="93" s="1"/>
  <c r="F3" i="93"/>
  <c r="E3" i="93" s="1"/>
  <c r="S3" i="93" s="1"/>
  <c r="C3" i="93"/>
  <c r="I3" i="93" s="1"/>
  <c r="B3" i="93"/>
  <c r="H3" i="93" s="1"/>
  <c r="N3" i="93" s="1"/>
  <c r="G27" i="93"/>
  <c r="F27" i="93"/>
  <c r="E27" i="93" s="1"/>
  <c r="S27" i="93" s="1"/>
  <c r="C27" i="93"/>
  <c r="I27" i="93" s="1"/>
  <c r="B27" i="93"/>
  <c r="H27" i="93" s="1"/>
  <c r="N27" i="93" s="1"/>
  <c r="G17" i="93"/>
  <c r="F17" i="93"/>
  <c r="E17" i="93" s="1"/>
  <c r="S17" i="93" s="1"/>
  <c r="C17" i="93"/>
  <c r="I17" i="93" s="1"/>
  <c r="B17" i="93"/>
  <c r="H17" i="93" s="1"/>
  <c r="N17" i="93" s="1"/>
  <c r="G26" i="93"/>
  <c r="F26" i="93"/>
  <c r="E26" i="93" s="1"/>
  <c r="S26" i="93" s="1"/>
  <c r="C26" i="93"/>
  <c r="I26" i="93" s="1"/>
  <c r="B26" i="93"/>
  <c r="H26" i="93" s="1"/>
  <c r="N26" i="93" s="1"/>
  <c r="G16" i="93"/>
  <c r="F16" i="93"/>
  <c r="E16" i="93" s="1"/>
  <c r="S16" i="93" s="1"/>
  <c r="C16" i="93"/>
  <c r="I16" i="93" s="1"/>
  <c r="B16" i="93"/>
  <c r="H16" i="93" s="1"/>
  <c r="N16" i="93" s="1"/>
  <c r="G15" i="93"/>
  <c r="F15" i="93"/>
  <c r="E15" i="93" s="1"/>
  <c r="S15" i="93" s="1"/>
  <c r="C15" i="93"/>
  <c r="I15" i="93" s="1"/>
  <c r="B15" i="93"/>
  <c r="H15" i="93" s="1"/>
  <c r="N15" i="93" s="1"/>
  <c r="G25" i="93"/>
  <c r="F25" i="93"/>
  <c r="E25" i="93" s="1"/>
  <c r="S25" i="93" s="1"/>
  <c r="C25" i="93"/>
  <c r="I25" i="93" s="1"/>
  <c r="B25" i="93"/>
  <c r="H25" i="93" s="1"/>
  <c r="N25" i="93" s="1"/>
  <c r="G14" i="93"/>
  <c r="F14" i="93"/>
  <c r="E14" i="93" s="1"/>
  <c r="S14" i="93" s="1"/>
  <c r="C14" i="93"/>
  <c r="I14" i="93" s="1"/>
  <c r="B14" i="93"/>
  <c r="H14" i="93" s="1"/>
  <c r="N14" i="93" s="1"/>
  <c r="G13" i="93"/>
  <c r="F13" i="93"/>
  <c r="E13" i="93" s="1"/>
  <c r="S13" i="93" s="1"/>
  <c r="C13" i="93"/>
  <c r="I13" i="93" s="1"/>
  <c r="B13" i="93"/>
  <c r="H13" i="93" s="1"/>
  <c r="N13" i="93" s="1"/>
  <c r="G12" i="93"/>
  <c r="F12" i="93"/>
  <c r="E12" i="93" s="1"/>
  <c r="S12" i="93" s="1"/>
  <c r="C12" i="93"/>
  <c r="I12" i="93" s="1"/>
  <c r="B12" i="93"/>
  <c r="H12" i="93" s="1"/>
  <c r="N12" i="93" s="1"/>
  <c r="G2" i="93"/>
  <c r="O2" i="93" s="1"/>
  <c r="F2" i="93"/>
  <c r="E2" i="93" s="1"/>
  <c r="S2" i="93" s="1"/>
  <c r="C2" i="93"/>
  <c r="I2" i="93" s="1"/>
  <c r="B2" i="93"/>
  <c r="H2" i="93" s="1"/>
  <c r="N2" i="93" s="1"/>
  <c r="G24" i="93"/>
  <c r="F24" i="93"/>
  <c r="E24" i="93" s="1"/>
  <c r="S24" i="93" s="1"/>
  <c r="C24" i="93"/>
  <c r="I24" i="93" s="1"/>
  <c r="M24" i="93" s="1"/>
  <c r="B24" i="93"/>
  <c r="H24" i="93" s="1"/>
  <c r="G11" i="93"/>
  <c r="F11" i="93"/>
  <c r="E11" i="93" s="1"/>
  <c r="S11" i="93" s="1"/>
  <c r="C11" i="93"/>
  <c r="I11" i="93" s="1"/>
  <c r="M11" i="93" s="1"/>
  <c r="B11" i="93"/>
  <c r="H11" i="93" s="1"/>
  <c r="N11" i="93" s="1"/>
  <c r="G10" i="93"/>
  <c r="F10" i="93"/>
  <c r="E10" i="93" s="1"/>
  <c r="S10" i="93" s="1"/>
  <c r="C10" i="93"/>
  <c r="I10" i="93" s="1"/>
  <c r="M10" i="93" s="1"/>
  <c r="B10" i="93"/>
  <c r="H10" i="93" s="1"/>
  <c r="G9" i="93"/>
  <c r="F9" i="93"/>
  <c r="E9" i="93" s="1"/>
  <c r="S9" i="93" s="1"/>
  <c r="C9" i="93"/>
  <c r="I9" i="93" s="1"/>
  <c r="B9" i="93"/>
  <c r="H9" i="93" s="1"/>
  <c r="N9" i="93" s="1"/>
  <c r="O24" i="93" l="1"/>
  <c r="O12" i="93"/>
  <c r="O10" i="93"/>
  <c r="Q10" i="93" s="1"/>
  <c r="O13" i="93"/>
  <c r="Q13" i="93" s="1"/>
  <c r="O11" i="93"/>
  <c r="Q11" i="93" s="1"/>
  <c r="N24" i="93"/>
  <c r="Q24" i="93"/>
  <c r="M9" i="93"/>
  <c r="N10" i="93"/>
  <c r="O14" i="93"/>
  <c r="O15" i="93"/>
  <c r="O26" i="93"/>
  <c r="O27" i="93"/>
  <c r="O28" i="93"/>
  <c r="O29" i="93"/>
  <c r="M6" i="93"/>
  <c r="Q6" i="93"/>
  <c r="R6" i="93" s="1"/>
  <c r="P6" i="93"/>
  <c r="L2" i="93"/>
  <c r="F6" i="94" s="1"/>
  <c r="M2" i="93"/>
  <c r="Q2" i="93"/>
  <c r="R2" i="93" s="1"/>
  <c r="P2" i="93"/>
  <c r="M14" i="93"/>
  <c r="M26" i="93"/>
  <c r="M28" i="93"/>
  <c r="M29" i="93"/>
  <c r="M23" i="93"/>
  <c r="Q12" i="93"/>
  <c r="M15" i="93"/>
  <c r="M27" i="93"/>
  <c r="M19" i="93"/>
  <c r="O19" i="93"/>
  <c r="M21" i="93"/>
  <c r="O21" i="93"/>
  <c r="O23" i="93"/>
  <c r="M13" i="93"/>
  <c r="O9" i="93"/>
  <c r="M12" i="93"/>
  <c r="M25" i="93"/>
  <c r="O25" i="93"/>
  <c r="M16" i="93"/>
  <c r="O16" i="93"/>
  <c r="M17" i="93"/>
  <c r="O17" i="93"/>
  <c r="M3" i="93"/>
  <c r="L3" i="93"/>
  <c r="F2" i="94" s="1"/>
  <c r="Q3" i="93"/>
  <c r="R3" i="93" s="1"/>
  <c r="P3" i="93"/>
  <c r="M18" i="93"/>
  <c r="O18" i="93"/>
  <c r="M20" i="93"/>
  <c r="O20" i="93"/>
  <c r="M4" i="93"/>
  <c r="L4" i="93"/>
  <c r="F4" i="94" s="1"/>
  <c r="Q4" i="93"/>
  <c r="R4" i="93" s="1"/>
  <c r="P4" i="93"/>
  <c r="M22" i="93"/>
  <c r="O22" i="93"/>
  <c r="M5" i="93"/>
  <c r="L5" i="93"/>
  <c r="F8" i="94" s="1"/>
  <c r="Q5" i="93"/>
  <c r="R5" i="93" s="1"/>
  <c r="P5" i="93"/>
  <c r="M7" i="93"/>
  <c r="Q7" i="93"/>
  <c r="R7" i="93" s="1"/>
  <c r="P7" i="93"/>
  <c r="Q8" i="93"/>
  <c r="R8" i="93" s="1"/>
  <c r="P8" i="93"/>
  <c r="M8" i="93"/>
  <c r="F30" i="81"/>
  <c r="E30" i="81"/>
  <c r="D30" i="81"/>
  <c r="C30" i="81"/>
  <c r="B30" i="81"/>
  <c r="Q15" i="93" l="1"/>
  <c r="Q28" i="93"/>
  <c r="Q14" i="93"/>
  <c r="Q17" i="93"/>
  <c r="Q18" i="93"/>
  <c r="Q20" i="93"/>
  <c r="Q25" i="93"/>
  <c r="Q27" i="93"/>
  <c r="Q21" i="93"/>
  <c r="Q29" i="93"/>
  <c r="Q22" i="93"/>
  <c r="Q16" i="93"/>
  <c r="Q9" i="93"/>
  <c r="Q23" i="93"/>
  <c r="Q19" i="93"/>
  <c r="Q26" i="93"/>
  <c r="E12" i="91" l="1"/>
  <c r="G12" i="91" s="1"/>
  <c r="G15" i="91" s="1"/>
  <c r="E9" i="91"/>
  <c r="E15" i="91" l="1"/>
  <c r="F12" i="91"/>
  <c r="F15" i="91" s="1"/>
  <c r="E18" i="91" l="1"/>
  <c r="F18" i="91" s="1"/>
  <c r="G9" i="91" l="1"/>
  <c r="H9" i="91" s="1"/>
  <c r="G29" i="90" l="1"/>
  <c r="O29" i="90" s="1"/>
  <c r="F29" i="90"/>
  <c r="E29" i="90" s="1"/>
  <c r="C29" i="90"/>
  <c r="I29" i="90" s="1"/>
  <c r="M29" i="90" s="1"/>
  <c r="B29" i="90"/>
  <c r="H29" i="90" s="1"/>
  <c r="G28" i="90"/>
  <c r="O28" i="90" s="1"/>
  <c r="F28" i="90"/>
  <c r="E28" i="90"/>
  <c r="C28" i="90"/>
  <c r="I28" i="90" s="1"/>
  <c r="M28" i="90" s="1"/>
  <c r="B28" i="90"/>
  <c r="H28" i="90" s="1"/>
  <c r="G27" i="90"/>
  <c r="O27" i="90" s="1"/>
  <c r="F27" i="90"/>
  <c r="E27" i="90" s="1"/>
  <c r="C27" i="90"/>
  <c r="I27" i="90" s="1"/>
  <c r="M27" i="90" s="1"/>
  <c r="B27" i="90"/>
  <c r="H27" i="90" s="1"/>
  <c r="G26" i="90"/>
  <c r="O26" i="90" s="1"/>
  <c r="F26" i="90"/>
  <c r="E26" i="90" s="1"/>
  <c r="C26" i="90"/>
  <c r="I26" i="90" s="1"/>
  <c r="M26" i="90" s="1"/>
  <c r="B26" i="90"/>
  <c r="H26" i="90" s="1"/>
  <c r="N26" i="90" s="1"/>
  <c r="G25" i="90"/>
  <c r="F25" i="90"/>
  <c r="E25" i="90" s="1"/>
  <c r="C25" i="90"/>
  <c r="I25" i="90" s="1"/>
  <c r="M25" i="90" s="1"/>
  <c r="B25" i="90"/>
  <c r="H25" i="90" s="1"/>
  <c r="N25" i="90" s="1"/>
  <c r="G24" i="90"/>
  <c r="F24" i="90"/>
  <c r="E24" i="90" s="1"/>
  <c r="C24" i="90"/>
  <c r="I24" i="90" s="1"/>
  <c r="M24" i="90" s="1"/>
  <c r="B24" i="90"/>
  <c r="H24" i="90" s="1"/>
  <c r="N24" i="90" s="1"/>
  <c r="G23" i="90"/>
  <c r="F23" i="90"/>
  <c r="E23" i="90" s="1"/>
  <c r="C23" i="90"/>
  <c r="I23" i="90" s="1"/>
  <c r="M23" i="90" s="1"/>
  <c r="B23" i="90"/>
  <c r="H23" i="90" s="1"/>
  <c r="N23" i="90" s="1"/>
  <c r="G22" i="90"/>
  <c r="O22" i="90" s="1"/>
  <c r="F22" i="90"/>
  <c r="E22" i="90" s="1"/>
  <c r="C22" i="90"/>
  <c r="I22" i="90" s="1"/>
  <c r="M22" i="90" s="1"/>
  <c r="B22" i="90"/>
  <c r="H22" i="90" s="1"/>
  <c r="N22" i="90" s="1"/>
  <c r="G21" i="90"/>
  <c r="F21" i="90"/>
  <c r="E21" i="90" s="1"/>
  <c r="C21" i="90"/>
  <c r="I21" i="90" s="1"/>
  <c r="M21" i="90" s="1"/>
  <c r="B21" i="90"/>
  <c r="H21" i="90" s="1"/>
  <c r="N21" i="90" s="1"/>
  <c r="G20" i="90"/>
  <c r="F20" i="90"/>
  <c r="E20" i="90"/>
  <c r="C20" i="90"/>
  <c r="I20" i="90" s="1"/>
  <c r="M20" i="90" s="1"/>
  <c r="B20" i="90"/>
  <c r="H20" i="90" s="1"/>
  <c r="N20" i="90" s="1"/>
  <c r="G19" i="90"/>
  <c r="F19" i="90"/>
  <c r="E19" i="90" s="1"/>
  <c r="C19" i="90"/>
  <c r="I19" i="90" s="1"/>
  <c r="M19" i="90" s="1"/>
  <c r="B19" i="90"/>
  <c r="H19" i="90" s="1"/>
  <c r="N19" i="90" s="1"/>
  <c r="G18" i="90"/>
  <c r="O18" i="90" s="1"/>
  <c r="Q18" i="90" s="1"/>
  <c r="F18" i="90"/>
  <c r="E18" i="90" s="1"/>
  <c r="C18" i="90"/>
  <c r="I18" i="90" s="1"/>
  <c r="M18" i="90" s="1"/>
  <c r="B18" i="90"/>
  <c r="H18" i="90" s="1"/>
  <c r="N18" i="90" s="1"/>
  <c r="G17" i="90"/>
  <c r="O17" i="90" s="1"/>
  <c r="Q17" i="90" s="1"/>
  <c r="F17" i="90"/>
  <c r="E17" i="90" s="1"/>
  <c r="C17" i="90"/>
  <c r="I17" i="90" s="1"/>
  <c r="M17" i="90" s="1"/>
  <c r="B17" i="90"/>
  <c r="H17" i="90" s="1"/>
  <c r="N17" i="90" s="1"/>
  <c r="G16" i="90"/>
  <c r="O16" i="90" s="1"/>
  <c r="F16" i="90"/>
  <c r="E16" i="90" s="1"/>
  <c r="C16" i="90"/>
  <c r="I16" i="90" s="1"/>
  <c r="M16" i="90" s="1"/>
  <c r="B16" i="90"/>
  <c r="H16" i="90" s="1"/>
  <c r="N16" i="90" s="1"/>
  <c r="G15" i="90"/>
  <c r="O15" i="90" s="1"/>
  <c r="Q15" i="90" s="1"/>
  <c r="F15" i="90"/>
  <c r="E15" i="90" s="1"/>
  <c r="C15" i="90"/>
  <c r="I15" i="90" s="1"/>
  <c r="M15" i="90" s="1"/>
  <c r="B15" i="90"/>
  <c r="H15" i="90" s="1"/>
  <c r="N15" i="90" s="1"/>
  <c r="G14" i="90"/>
  <c r="O14" i="90" s="1"/>
  <c r="Q14" i="90" s="1"/>
  <c r="F14" i="90"/>
  <c r="E14" i="90" s="1"/>
  <c r="C14" i="90"/>
  <c r="I14" i="90" s="1"/>
  <c r="M14" i="90" s="1"/>
  <c r="B14" i="90"/>
  <c r="H14" i="90" s="1"/>
  <c r="N14" i="90" s="1"/>
  <c r="G13" i="90"/>
  <c r="O13" i="90" s="1"/>
  <c r="Q13" i="90" s="1"/>
  <c r="F13" i="90"/>
  <c r="E13" i="90" s="1"/>
  <c r="C13" i="90"/>
  <c r="I13" i="90" s="1"/>
  <c r="M13" i="90" s="1"/>
  <c r="B13" i="90"/>
  <c r="H13" i="90" s="1"/>
  <c r="N13" i="90" s="1"/>
  <c r="G12" i="90"/>
  <c r="O12" i="90" s="1"/>
  <c r="Q12" i="90" s="1"/>
  <c r="F12" i="90"/>
  <c r="E12" i="90" s="1"/>
  <c r="C12" i="90"/>
  <c r="I12" i="90" s="1"/>
  <c r="M12" i="90" s="1"/>
  <c r="B12" i="90"/>
  <c r="H12" i="90" s="1"/>
  <c r="N12" i="90" s="1"/>
  <c r="G11" i="90"/>
  <c r="O11" i="90" s="1"/>
  <c r="Q11" i="90" s="1"/>
  <c r="F11" i="90"/>
  <c r="E11" i="90" s="1"/>
  <c r="C11" i="90"/>
  <c r="I11" i="90" s="1"/>
  <c r="M11" i="90" s="1"/>
  <c r="B11" i="90"/>
  <c r="H11" i="90" s="1"/>
  <c r="N11" i="90" s="1"/>
  <c r="G10" i="90"/>
  <c r="O10" i="90" s="1"/>
  <c r="Q10" i="90" s="1"/>
  <c r="F10" i="90"/>
  <c r="E10" i="90" s="1"/>
  <c r="C10" i="90"/>
  <c r="I10" i="90" s="1"/>
  <c r="M10" i="90" s="1"/>
  <c r="B10" i="90"/>
  <c r="H10" i="90" s="1"/>
  <c r="N10" i="90" s="1"/>
  <c r="G9" i="90"/>
  <c r="O9" i="90" s="1"/>
  <c r="Q9" i="90" s="1"/>
  <c r="F9" i="90"/>
  <c r="E9" i="90" s="1"/>
  <c r="C9" i="90"/>
  <c r="I9" i="90" s="1"/>
  <c r="M9" i="90" s="1"/>
  <c r="B9" i="90"/>
  <c r="H9" i="90" s="1"/>
  <c r="N9" i="90" s="1"/>
  <c r="G8" i="90"/>
  <c r="O8" i="90" s="1"/>
  <c r="Q8" i="90" s="1"/>
  <c r="F8" i="90"/>
  <c r="E8" i="90" s="1"/>
  <c r="C8" i="90"/>
  <c r="I8" i="90" s="1"/>
  <c r="M8" i="90" s="1"/>
  <c r="B8" i="90"/>
  <c r="H8" i="90" s="1"/>
  <c r="N8" i="90" s="1"/>
  <c r="G7" i="90"/>
  <c r="O7" i="90" s="1"/>
  <c r="Q7" i="90" s="1"/>
  <c r="F7" i="90"/>
  <c r="E7" i="90"/>
  <c r="C7" i="90"/>
  <c r="I7" i="90" s="1"/>
  <c r="M7" i="90" s="1"/>
  <c r="B7" i="90"/>
  <c r="H7" i="90" s="1"/>
  <c r="N7" i="90" s="1"/>
  <c r="G6" i="90"/>
  <c r="O6" i="90" s="1"/>
  <c r="F6" i="90"/>
  <c r="E6" i="90" s="1"/>
  <c r="C6" i="90"/>
  <c r="I6" i="90" s="1"/>
  <c r="M6" i="90" s="1"/>
  <c r="B6" i="90"/>
  <c r="H6" i="90" s="1"/>
  <c r="N6" i="90" s="1"/>
  <c r="G5" i="90"/>
  <c r="F5" i="90"/>
  <c r="E5" i="90" s="1"/>
  <c r="C5" i="90"/>
  <c r="I5" i="90" s="1"/>
  <c r="M5" i="90" s="1"/>
  <c r="B5" i="90"/>
  <c r="H5" i="90" s="1"/>
  <c r="N5" i="90" s="1"/>
  <c r="G4" i="90"/>
  <c r="F4" i="90"/>
  <c r="E4" i="90" s="1"/>
  <c r="C4" i="90"/>
  <c r="I4" i="90" s="1"/>
  <c r="M4" i="90" s="1"/>
  <c r="B4" i="90"/>
  <c r="H4" i="90" s="1"/>
  <c r="N4" i="90" s="1"/>
  <c r="G3" i="90"/>
  <c r="F3" i="90"/>
  <c r="E3" i="90" s="1"/>
  <c r="C3" i="90"/>
  <c r="I3" i="90" s="1"/>
  <c r="M3" i="90" s="1"/>
  <c r="B3" i="90"/>
  <c r="H3" i="90" s="1"/>
  <c r="N3" i="90" s="1"/>
  <c r="G2" i="90"/>
  <c r="F2" i="90"/>
  <c r="E2" i="90" s="1"/>
  <c r="C2" i="90"/>
  <c r="I2" i="90" s="1"/>
  <c r="M2" i="90" s="1"/>
  <c r="B2" i="90"/>
  <c r="H2" i="90" s="1"/>
  <c r="N2" i="90" s="1"/>
  <c r="Q16" i="90" l="1"/>
  <c r="R16" i="90" s="1"/>
  <c r="P16" i="90"/>
  <c r="O19" i="90"/>
  <c r="Q19" i="90" s="1"/>
  <c r="O20" i="90"/>
  <c r="Q20" i="90" s="1"/>
  <c r="O21" i="90"/>
  <c r="Q21" i="90" s="1"/>
  <c r="Q22" i="90"/>
  <c r="R22" i="90" s="1"/>
  <c r="P22" i="90"/>
  <c r="O23" i="90"/>
  <c r="Q23" i="90" s="1"/>
  <c r="O24" i="90"/>
  <c r="Q24" i="90" s="1"/>
  <c r="O25" i="90"/>
  <c r="Q25" i="90" s="1"/>
  <c r="Q26" i="90"/>
  <c r="R26" i="90" s="1"/>
  <c r="P26" i="90"/>
  <c r="P27" i="90"/>
  <c r="Q27" i="90"/>
  <c r="R27" i="90" s="1"/>
  <c r="O2" i="90"/>
  <c r="Q2" i="90" s="1"/>
  <c r="O3" i="90"/>
  <c r="Q3" i="90" s="1"/>
  <c r="O4" i="90"/>
  <c r="Q4" i="90" s="1"/>
  <c r="O5" i="90"/>
  <c r="Q5" i="90" s="1"/>
  <c r="P6" i="90"/>
  <c r="Q6" i="90"/>
  <c r="R6" i="90" s="1"/>
  <c r="Q28" i="90"/>
  <c r="R28" i="90" s="1"/>
  <c r="P28" i="90"/>
  <c r="P29" i="90"/>
  <c r="Q29" i="90"/>
  <c r="R29" i="90" s="1"/>
  <c r="L6" i="90"/>
  <c r="L22" i="90"/>
  <c r="L16" i="90"/>
  <c r="L26" i="90"/>
  <c r="F29" i="81"/>
  <c r="I30" i="89" s="1"/>
  <c r="F28" i="81"/>
  <c r="I29" i="89" s="1"/>
  <c r="F27" i="81"/>
  <c r="I28" i="89" s="1"/>
  <c r="F26" i="81"/>
  <c r="I27" i="89" s="1"/>
  <c r="F25" i="81"/>
  <c r="I26" i="89" s="1"/>
  <c r="F24" i="81"/>
  <c r="I25" i="89" s="1"/>
  <c r="F23" i="81"/>
  <c r="I24" i="89" s="1"/>
  <c r="F22" i="81"/>
  <c r="I23" i="89" s="1"/>
  <c r="F21" i="81"/>
  <c r="I22" i="89" s="1"/>
  <c r="F20" i="81"/>
  <c r="I21" i="89" s="1"/>
  <c r="F19" i="81"/>
  <c r="I20" i="89" s="1"/>
  <c r="F18" i="81"/>
  <c r="I19" i="89" s="1"/>
  <c r="F17" i="81"/>
  <c r="I18" i="89" s="1"/>
  <c r="F16" i="81"/>
  <c r="I17" i="89" s="1"/>
  <c r="F15" i="81"/>
  <c r="I16" i="89" s="1"/>
  <c r="F14" i="81"/>
  <c r="I15" i="89" s="1"/>
  <c r="F13" i="81"/>
  <c r="I14" i="89" s="1"/>
  <c r="F12" i="81"/>
  <c r="I13" i="89" s="1"/>
  <c r="F11" i="81"/>
  <c r="I12" i="89" s="1"/>
  <c r="F10" i="81"/>
  <c r="I11" i="89" s="1"/>
  <c r="F9" i="81"/>
  <c r="I10" i="89" s="1"/>
  <c r="F8" i="81"/>
  <c r="I9" i="89" s="1"/>
  <c r="F7" i="81"/>
  <c r="I8" i="89" s="1"/>
  <c r="F6" i="81"/>
  <c r="I7" i="89" s="1"/>
  <c r="F5" i="81"/>
  <c r="I6" i="89" s="1"/>
  <c r="F4" i="81"/>
  <c r="I5" i="89" s="1"/>
  <c r="F3" i="81"/>
  <c r="I4" i="89" s="1"/>
  <c r="I3" i="89"/>
  <c r="E29" i="81"/>
  <c r="H30" i="89" s="1"/>
  <c r="E28" i="81"/>
  <c r="H29" i="89" s="1"/>
  <c r="E27" i="81"/>
  <c r="H28" i="89" s="1"/>
  <c r="E26" i="81"/>
  <c r="H27" i="89" s="1"/>
  <c r="E25" i="81"/>
  <c r="H26" i="89" s="1"/>
  <c r="E24" i="81"/>
  <c r="H25" i="89" s="1"/>
  <c r="E23" i="81"/>
  <c r="H24" i="89" s="1"/>
  <c r="E22" i="81"/>
  <c r="H23" i="89" s="1"/>
  <c r="E21" i="81"/>
  <c r="H22" i="89" s="1"/>
  <c r="E20" i="81"/>
  <c r="H21" i="89" s="1"/>
  <c r="E19" i="81"/>
  <c r="H20" i="89" s="1"/>
  <c r="E18" i="81"/>
  <c r="H19" i="89" s="1"/>
  <c r="E17" i="81"/>
  <c r="H18" i="89" s="1"/>
  <c r="E16" i="81"/>
  <c r="H17" i="89" s="1"/>
  <c r="E15" i="81"/>
  <c r="H16" i="89" s="1"/>
  <c r="E14" i="81"/>
  <c r="H15" i="89" s="1"/>
  <c r="E13" i="81"/>
  <c r="H14" i="89" s="1"/>
  <c r="E12" i="81"/>
  <c r="H13" i="89" s="1"/>
  <c r="E11" i="81"/>
  <c r="H12" i="89" s="1"/>
  <c r="E10" i="81"/>
  <c r="H11" i="89" s="1"/>
  <c r="E9" i="81"/>
  <c r="H10" i="89" s="1"/>
  <c r="E8" i="81"/>
  <c r="H9" i="89" s="1"/>
  <c r="E7" i="81"/>
  <c r="H8" i="89" s="1"/>
  <c r="E6" i="81"/>
  <c r="H7" i="89" s="1"/>
  <c r="E5" i="81"/>
  <c r="H6" i="89" s="1"/>
  <c r="E4" i="81"/>
  <c r="H5" i="89" s="1"/>
  <c r="E3" i="81"/>
  <c r="H4" i="89" s="1"/>
  <c r="E2" i="81"/>
  <c r="H3" i="89" s="1"/>
  <c r="C2" i="94" l="1"/>
  <c r="D2" i="94"/>
  <c r="S26" i="88"/>
  <c r="D24" i="94"/>
  <c r="S8" i="88"/>
  <c r="D6" i="94"/>
  <c r="S12" i="88"/>
  <c r="D10" i="94"/>
  <c r="S20" i="88"/>
  <c r="D18" i="94"/>
  <c r="S17" i="88"/>
  <c r="D15" i="94"/>
  <c r="S6" i="88"/>
  <c r="D4" i="94"/>
  <c r="S10" i="88"/>
  <c r="D8" i="94"/>
  <c r="S27" i="88"/>
  <c r="D25" i="94"/>
  <c r="S31" i="88"/>
  <c r="D29" i="94"/>
  <c r="S13" i="88"/>
  <c r="D11" i="94"/>
  <c r="S15" i="88"/>
  <c r="D13" i="94"/>
  <c r="S18" i="88"/>
  <c r="D16" i="94"/>
  <c r="S29" i="88"/>
  <c r="D27" i="94"/>
  <c r="S9" i="88"/>
  <c r="D7" i="94"/>
  <c r="S22" i="88"/>
  <c r="D20" i="94"/>
  <c r="S24" i="88"/>
  <c r="D22" i="94"/>
  <c r="S14" i="88"/>
  <c r="D12" i="94"/>
  <c r="S21" i="88"/>
  <c r="D19" i="94"/>
  <c r="S30" i="88"/>
  <c r="D28" i="94"/>
  <c r="S5" i="88"/>
  <c r="D3" i="94"/>
  <c r="S28" i="88"/>
  <c r="D26" i="94"/>
  <c r="S25" i="88"/>
  <c r="D23" i="94"/>
  <c r="S11" i="88"/>
  <c r="D9" i="94"/>
  <c r="S16" i="88"/>
  <c r="D14" i="94"/>
  <c r="S19" i="88"/>
  <c r="D17" i="94"/>
  <c r="S23" i="88"/>
  <c r="D21" i="94"/>
  <c r="S7" i="88"/>
  <c r="D5" i="94"/>
  <c r="K22" i="88"/>
  <c r="C20" i="94"/>
  <c r="K26" i="88"/>
  <c r="C24" i="94"/>
  <c r="K8" i="88"/>
  <c r="C6" i="94"/>
  <c r="K12" i="88"/>
  <c r="C10" i="94"/>
  <c r="K20" i="88"/>
  <c r="C18" i="94"/>
  <c r="K17" i="88"/>
  <c r="C15" i="94"/>
  <c r="K6" i="88"/>
  <c r="C4" i="94"/>
  <c r="K10" i="88"/>
  <c r="C8" i="94"/>
  <c r="K27" i="88"/>
  <c r="C25" i="94"/>
  <c r="K31" i="88"/>
  <c r="C29" i="94"/>
  <c r="K13" i="88"/>
  <c r="C11" i="94"/>
  <c r="K15" i="88"/>
  <c r="C13" i="94"/>
  <c r="K18" i="88"/>
  <c r="C16" i="94"/>
  <c r="K29" i="88"/>
  <c r="C27" i="94"/>
  <c r="K9" i="88"/>
  <c r="C7" i="94"/>
  <c r="K24" i="88"/>
  <c r="C22" i="94"/>
  <c r="K14" i="88"/>
  <c r="C12" i="94"/>
  <c r="K21" i="88"/>
  <c r="C19" i="94"/>
  <c r="K30" i="88"/>
  <c r="C28" i="94"/>
  <c r="K5" i="88"/>
  <c r="C3" i="94"/>
  <c r="K28" i="88"/>
  <c r="C26" i="94"/>
  <c r="K25" i="88"/>
  <c r="C23" i="94"/>
  <c r="K11" i="88"/>
  <c r="C9" i="94"/>
  <c r="K16" i="88"/>
  <c r="C14" i="94"/>
  <c r="K19" i="88"/>
  <c r="C17" i="94"/>
  <c r="K23" i="88"/>
  <c r="C21" i="94"/>
  <c r="K7" i="88"/>
  <c r="C5" i="94"/>
  <c r="K4" i="88"/>
  <c r="H4" i="91"/>
  <c r="S4" i="88"/>
  <c r="H3" i="91"/>
  <c r="E2" i="94" l="1"/>
  <c r="O27" i="88"/>
  <c r="O15" i="88"/>
  <c r="O12" i="88" l="1"/>
  <c r="O17" i="88"/>
  <c r="O19" i="88"/>
  <c r="O13" i="88"/>
  <c r="O26" i="88"/>
  <c r="O20" i="88"/>
  <c r="O24" i="88"/>
  <c r="O23" i="88"/>
  <c r="O4" i="88"/>
  <c r="O29" i="88"/>
  <c r="O18" i="88"/>
  <c r="O9" i="88"/>
  <c r="O6" i="88"/>
  <c r="O7" i="88"/>
  <c r="O5" i="88"/>
  <c r="O16" i="88"/>
  <c r="O11" i="88"/>
  <c r="O25" i="88"/>
  <c r="O21" i="88"/>
  <c r="O10" i="88"/>
  <c r="O30" i="88"/>
  <c r="O28" i="88"/>
  <c r="O14" i="88"/>
  <c r="O22" i="88"/>
  <c r="O8" i="88"/>
  <c r="O31" i="88"/>
  <c r="E18" i="94"/>
  <c r="J18" i="94" s="1"/>
  <c r="E12" i="94"/>
  <c r="J12" i="94" s="1"/>
  <c r="E7" i="94"/>
  <c r="J7" i="94" s="1"/>
  <c r="E10" i="94"/>
  <c r="J10" i="94" s="1"/>
  <c r="E14" i="94"/>
  <c r="J14" i="94" s="1"/>
  <c r="E20" i="94"/>
  <c r="J20" i="94" s="1"/>
  <c r="J2" i="94"/>
  <c r="E15" i="94"/>
  <c r="J15" i="94" s="1"/>
  <c r="E24" i="94"/>
  <c r="J24" i="94" s="1"/>
  <c r="E19" i="94"/>
  <c r="J19" i="94" s="1"/>
  <c r="E29" i="94"/>
  <c r="J29" i="94" s="1"/>
  <c r="E27" i="94"/>
  <c r="J27" i="94" s="1"/>
  <c r="E26" i="94"/>
  <c r="J26" i="94" s="1"/>
  <c r="E16" i="94"/>
  <c r="J16" i="94" s="1"/>
  <c r="E6" i="94"/>
  <c r="J6" i="94" s="1"/>
  <c r="E11" i="94"/>
  <c r="J11" i="94" s="1"/>
  <c r="E13" i="94"/>
  <c r="J13" i="94" s="1"/>
  <c r="E17" i="94"/>
  <c r="J17" i="94" s="1"/>
  <c r="E8" i="94"/>
  <c r="J8" i="94" s="1"/>
  <c r="E28" i="94"/>
  <c r="J28" i="94" s="1"/>
  <c r="E9" i="94"/>
  <c r="J9" i="94" s="1"/>
  <c r="E5" i="94"/>
  <c r="J5" i="94" s="1"/>
  <c r="E4" i="94"/>
  <c r="J4" i="94" s="1"/>
  <c r="E21" i="94"/>
  <c r="J21" i="94" s="1"/>
  <c r="E23" i="94"/>
  <c r="J23" i="94" s="1"/>
  <c r="E3" i="94"/>
  <c r="J3" i="94" s="1"/>
  <c r="E25" i="94"/>
  <c r="J25" i="94" s="1"/>
  <c r="E22" i="94"/>
  <c r="J22" i="94" s="1"/>
  <c r="D29" i="81"/>
  <c r="C29" i="81"/>
  <c r="B29" i="81"/>
  <c r="D28" i="81"/>
  <c r="C28" i="81"/>
  <c r="B28" i="81"/>
  <c r="D27" i="81"/>
  <c r="C27" i="81"/>
  <c r="B27" i="81"/>
  <c r="D26" i="81"/>
  <c r="C26" i="81"/>
  <c r="B26" i="81"/>
  <c r="D25" i="81"/>
  <c r="C25" i="81"/>
  <c r="B25" i="81"/>
  <c r="D24" i="81"/>
  <c r="C24" i="81"/>
  <c r="B24" i="81"/>
  <c r="D23" i="81"/>
  <c r="C23" i="81"/>
  <c r="B23" i="81"/>
  <c r="D22" i="81"/>
  <c r="C22" i="81"/>
  <c r="B22" i="81"/>
  <c r="D21" i="81"/>
  <c r="C21" i="81"/>
  <c r="B21" i="81"/>
  <c r="D20" i="81"/>
  <c r="C20" i="81"/>
  <c r="B20" i="81"/>
  <c r="D19" i="81"/>
  <c r="C19" i="81"/>
  <c r="B19" i="81"/>
  <c r="D18" i="81"/>
  <c r="C18" i="81"/>
  <c r="B18" i="81"/>
  <c r="D17" i="81"/>
  <c r="C17" i="81"/>
  <c r="B17" i="81"/>
  <c r="D16" i="81"/>
  <c r="C16" i="81"/>
  <c r="B16" i="81"/>
  <c r="D15" i="81"/>
  <c r="C15" i="81"/>
  <c r="B15" i="81"/>
  <c r="D14" i="81"/>
  <c r="C14" i="81"/>
  <c r="B14" i="81"/>
  <c r="D13" i="81"/>
  <c r="C13" i="81"/>
  <c r="B13" i="81"/>
  <c r="D12" i="81"/>
  <c r="C12" i="81"/>
  <c r="B12" i="81"/>
  <c r="D11" i="81"/>
  <c r="C11" i="81"/>
  <c r="B11" i="81"/>
  <c r="D10" i="81"/>
  <c r="C10" i="81"/>
  <c r="B10" i="81"/>
  <c r="D9" i="81"/>
  <c r="C9" i="81"/>
  <c r="B9" i="81"/>
  <c r="D8" i="81"/>
  <c r="C8" i="81"/>
  <c r="B8" i="81"/>
  <c r="D7" i="81"/>
  <c r="C7" i="81"/>
  <c r="B7" i="81"/>
  <c r="D6" i="81"/>
  <c r="C6" i="81"/>
  <c r="B6" i="81"/>
  <c r="D5" i="81"/>
  <c r="C5" i="81"/>
  <c r="B5" i="81"/>
  <c r="D4" i="81"/>
  <c r="C4" i="81"/>
  <c r="B4" i="81"/>
  <c r="D3" i="81"/>
  <c r="C3" i="81"/>
  <c r="B3" i="81"/>
  <c r="D2" i="81"/>
  <c r="C2" i="81"/>
  <c r="B2" i="81"/>
  <c r="D6" i="89" l="1"/>
  <c r="C9" i="89"/>
  <c r="D14" i="89"/>
  <c r="D18" i="89"/>
  <c r="D22" i="89"/>
  <c r="D26" i="89"/>
  <c r="C29" i="89"/>
  <c r="D30" i="89"/>
  <c r="C4" i="89"/>
  <c r="C8" i="89"/>
  <c r="D13" i="89"/>
  <c r="C16" i="89"/>
  <c r="D21" i="89"/>
  <c r="D25" i="89"/>
  <c r="C28" i="89"/>
  <c r="D29" i="89"/>
  <c r="C3" i="89"/>
  <c r="D4" i="89"/>
  <c r="C7" i="89"/>
  <c r="D8" i="89"/>
  <c r="C11" i="89"/>
  <c r="D12" i="89"/>
  <c r="C15" i="89"/>
  <c r="D16" i="89"/>
  <c r="C19" i="89"/>
  <c r="D20" i="89"/>
  <c r="C23" i="89"/>
  <c r="D24" i="89"/>
  <c r="C27" i="89"/>
  <c r="D28" i="89"/>
  <c r="C5" i="89"/>
  <c r="D10" i="89"/>
  <c r="C13" i="89"/>
  <c r="C17" i="89"/>
  <c r="C21" i="89"/>
  <c r="C25" i="89"/>
  <c r="D5" i="89"/>
  <c r="D9" i="89"/>
  <c r="C12" i="89"/>
  <c r="D17" i="89"/>
  <c r="C20" i="89"/>
  <c r="C24" i="89"/>
  <c r="D3" i="89"/>
  <c r="C6" i="89"/>
  <c r="D7" i="89"/>
  <c r="C10" i="89"/>
  <c r="D11" i="89"/>
  <c r="C14" i="89"/>
  <c r="D15" i="89"/>
  <c r="C18" i="89"/>
  <c r="D19" i="89"/>
  <c r="C22" i="89"/>
  <c r="D23" i="89"/>
  <c r="C26" i="89"/>
  <c r="D27" i="89"/>
  <c r="C30" i="89"/>
  <c r="B5" i="89"/>
  <c r="B13" i="89"/>
  <c r="B21" i="89"/>
  <c r="B29" i="89"/>
  <c r="B10" i="89"/>
  <c r="B11" i="89"/>
  <c r="B19" i="89"/>
  <c r="B27" i="89"/>
  <c r="B15" i="89"/>
  <c r="B26" i="89"/>
  <c r="B16" i="89"/>
  <c r="B3" i="89"/>
  <c r="B6" i="89"/>
  <c r="B14" i="89"/>
  <c r="B22" i="89"/>
  <c r="B30" i="89"/>
  <c r="B24" i="89"/>
  <c r="B9" i="89"/>
  <c r="B17" i="89"/>
  <c r="B25" i="89"/>
  <c r="B7" i="89"/>
  <c r="B18" i="89"/>
  <c r="B8" i="89"/>
  <c r="B4" i="89"/>
  <c r="B12" i="89"/>
  <c r="B20" i="89"/>
  <c r="B28" i="89"/>
  <c r="B23" i="89"/>
  <c r="K16" i="90" l="1"/>
  <c r="K9" i="90"/>
  <c r="K23" i="90"/>
  <c r="K15" i="90"/>
  <c r="K7" i="90"/>
  <c r="K28" i="90"/>
  <c r="N28" i="90" s="1"/>
  <c r="K29" i="90"/>
  <c r="N29" i="90" s="1"/>
  <c r="K17" i="90"/>
  <c r="K26" i="90"/>
  <c r="K18" i="90"/>
  <c r="K10" i="90"/>
  <c r="K12" i="90"/>
  <c r="K13" i="90"/>
  <c r="K8" i="90"/>
  <c r="K27" i="90"/>
  <c r="N27" i="90" s="1"/>
  <c r="K19" i="90"/>
  <c r="K11" i="90"/>
  <c r="K3" i="90"/>
  <c r="K24" i="90"/>
  <c r="K25" i="90"/>
  <c r="K22" i="90"/>
  <c r="K14" i="90"/>
  <c r="K6" i="90"/>
  <c r="K4" i="90"/>
  <c r="K20" i="90"/>
  <c r="K21" i="90"/>
  <c r="K5" i="90"/>
  <c r="K2" i="90"/>
  <c r="J8" i="93"/>
  <c r="P13" i="93" s="1"/>
  <c r="V13" i="93" s="1"/>
  <c r="G22" i="94" s="1"/>
  <c r="J29" i="90"/>
  <c r="J21" i="90"/>
  <c r="J13" i="90"/>
  <c r="J5" i="90"/>
  <c r="J24" i="90"/>
  <c r="J15" i="90"/>
  <c r="J11" i="90"/>
  <c r="J20" i="90"/>
  <c r="J4" i="90"/>
  <c r="J22" i="90"/>
  <c r="J14" i="90"/>
  <c r="J6" i="90"/>
  <c r="J27" i="90"/>
  <c r="J7" i="93"/>
  <c r="P10" i="93" s="1"/>
  <c r="V10" i="93" s="1"/>
  <c r="G25" i="94" s="1"/>
  <c r="J28" i="90"/>
  <c r="J25" i="90"/>
  <c r="J17" i="90"/>
  <c r="J9" i="90"/>
  <c r="J23" i="90"/>
  <c r="J16" i="90"/>
  <c r="J7" i="90"/>
  <c r="J8" i="90"/>
  <c r="J19" i="90"/>
  <c r="J12" i="90"/>
  <c r="J26" i="90"/>
  <c r="J18" i="90"/>
  <c r="J10" i="90"/>
  <c r="J3" i="90"/>
  <c r="J2" i="90"/>
  <c r="J6" i="93"/>
  <c r="P18" i="93" s="1"/>
  <c r="V18" i="93" s="1"/>
  <c r="G15" i="94" s="1"/>
  <c r="J11" i="93"/>
  <c r="K21" i="93"/>
  <c r="K26" i="93"/>
  <c r="K12" i="93"/>
  <c r="J17" i="93"/>
  <c r="K13" i="93"/>
  <c r="J12" i="93"/>
  <c r="K24" i="93"/>
  <c r="J22" i="93"/>
  <c r="K10" i="93"/>
  <c r="K28" i="93"/>
  <c r="K9" i="93"/>
  <c r="J19" i="93"/>
  <c r="J16" i="93"/>
  <c r="K22" i="93"/>
  <c r="J10" i="93"/>
  <c r="J20" i="93"/>
  <c r="K18" i="93"/>
  <c r="K2" i="93"/>
  <c r="P25" i="93" s="1"/>
  <c r="V25" i="93" s="1"/>
  <c r="G10" i="94" s="1"/>
  <c r="K19" i="93"/>
  <c r="J24" i="93"/>
  <c r="J29" i="93"/>
  <c r="J25" i="93"/>
  <c r="K17" i="93"/>
  <c r="J5" i="93"/>
  <c r="V5" i="93" s="1"/>
  <c r="G8" i="94" s="1"/>
  <c r="F4" i="91"/>
  <c r="J3" i="93"/>
  <c r="V3" i="93" s="1"/>
  <c r="G2" i="94" s="1"/>
  <c r="J15" i="93"/>
  <c r="K29" i="93"/>
  <c r="K20" i="93"/>
  <c r="K4" i="93"/>
  <c r="P26" i="93" s="1"/>
  <c r="V26" i="93" s="1"/>
  <c r="G9" i="94" s="1"/>
  <c r="J26" i="93"/>
  <c r="J9" i="93"/>
  <c r="K16" i="93"/>
  <c r="K11" i="93"/>
  <c r="K23" i="93"/>
  <c r="J18" i="93"/>
  <c r="K7" i="93"/>
  <c r="V7" i="93" s="1"/>
  <c r="G3" i="94" s="1"/>
  <c r="K8" i="93"/>
  <c r="V8" i="93" s="1"/>
  <c r="G5" i="94" s="1"/>
  <c r="G18" i="91"/>
  <c r="H18" i="91" s="1"/>
  <c r="B8" i="91" s="1"/>
  <c r="K5" i="93"/>
  <c r="P27" i="93" s="1"/>
  <c r="V27" i="93" s="1"/>
  <c r="G13" i="94" s="1"/>
  <c r="J4" i="93"/>
  <c r="V4" i="93" s="1"/>
  <c r="G4" i="94" s="1"/>
  <c r="J2" i="93"/>
  <c r="V2" i="93" s="1"/>
  <c r="G6" i="94" s="1"/>
  <c r="K27" i="93"/>
  <c r="K14" i="93"/>
  <c r="K25" i="93"/>
  <c r="K3" i="93"/>
  <c r="F3" i="91"/>
  <c r="H12" i="91" s="1"/>
  <c r="J13" i="93"/>
  <c r="J23" i="93"/>
  <c r="J28" i="93"/>
  <c r="J14" i="93"/>
  <c r="K6" i="93"/>
  <c r="V6" i="93" s="1"/>
  <c r="G7" i="94" s="1"/>
  <c r="K15" i="93"/>
  <c r="J21" i="93"/>
  <c r="J27" i="93"/>
  <c r="U6" i="88"/>
  <c r="A4" i="94"/>
  <c r="U27" i="88"/>
  <c r="A25" i="94"/>
  <c r="U30" i="88"/>
  <c r="A28" i="94"/>
  <c r="U29" i="88"/>
  <c r="A27" i="94"/>
  <c r="U19" i="88"/>
  <c r="A17" i="94"/>
  <c r="U15" i="88"/>
  <c r="A13" i="94"/>
  <c r="U10" i="88"/>
  <c r="A8" i="94"/>
  <c r="U21" i="88"/>
  <c r="A19" i="94"/>
  <c r="U13" i="88"/>
  <c r="A11" i="94"/>
  <c r="U16" i="88"/>
  <c r="A14" i="94"/>
  <c r="U8" i="88"/>
  <c r="A6" i="94"/>
  <c r="U7" i="88"/>
  <c r="A5" i="94"/>
  <c r="U28" i="88"/>
  <c r="A26" i="94"/>
  <c r="U20" i="88"/>
  <c r="A18" i="94"/>
  <c r="U5" i="88"/>
  <c r="A3" i="94"/>
  <c r="U18" i="88"/>
  <c r="A16" i="94"/>
  <c r="U24" i="88"/>
  <c r="A22" i="94"/>
  <c r="U26" i="88"/>
  <c r="A24" i="94"/>
  <c r="U23" i="88"/>
  <c r="A21" i="94"/>
  <c r="U12" i="88"/>
  <c r="A10" i="94"/>
  <c r="U22" i="88"/>
  <c r="A20" i="94"/>
  <c r="U9" i="88"/>
  <c r="A7" i="94"/>
  <c r="U31" i="88"/>
  <c r="A29" i="94"/>
  <c r="U4" i="88"/>
  <c r="A2" i="94"/>
  <c r="U11" i="88"/>
  <c r="A9" i="94"/>
  <c r="U17" i="88"/>
  <c r="A15" i="94"/>
  <c r="U25" i="88"/>
  <c r="A23" i="94"/>
  <c r="U14" i="88"/>
  <c r="A12" i="94"/>
  <c r="F13" i="88"/>
  <c r="G12" i="89"/>
  <c r="I26" i="88"/>
  <c r="F3" i="89"/>
  <c r="E3" i="89"/>
  <c r="F12" i="88"/>
  <c r="G11" i="89"/>
  <c r="I11" i="88"/>
  <c r="F14" i="89"/>
  <c r="E14" i="89"/>
  <c r="I10" i="88"/>
  <c r="F27" i="89"/>
  <c r="E27" i="89"/>
  <c r="G6" i="89"/>
  <c r="F28" i="88"/>
  <c r="I22" i="88"/>
  <c r="E5" i="89"/>
  <c r="F5" i="89"/>
  <c r="I13" i="88"/>
  <c r="F12" i="89"/>
  <c r="E12" i="89"/>
  <c r="I29" i="88"/>
  <c r="F24" i="89"/>
  <c r="E24" i="89"/>
  <c r="F21" i="88"/>
  <c r="G21" i="89"/>
  <c r="F20" i="88"/>
  <c r="G15" i="89"/>
  <c r="I5" i="88"/>
  <c r="E29" i="89"/>
  <c r="F29" i="89"/>
  <c r="F31" i="88"/>
  <c r="G8" i="89"/>
  <c r="I6" i="88"/>
  <c r="F23" i="89"/>
  <c r="E23" i="89"/>
  <c r="F18" i="88"/>
  <c r="G20" i="89"/>
  <c r="F8" i="88"/>
  <c r="G7" i="89"/>
  <c r="I23" i="88"/>
  <c r="F26" i="89"/>
  <c r="E26" i="89"/>
  <c r="F30" i="88"/>
  <c r="G25" i="89"/>
  <c r="I30" i="88"/>
  <c r="F25" i="89"/>
  <c r="E25" i="89"/>
  <c r="G17" i="89"/>
  <c r="F4" i="88"/>
  <c r="I28" i="88"/>
  <c r="F6" i="89"/>
  <c r="E6" i="89"/>
  <c r="F25" i="88"/>
  <c r="G10" i="89"/>
  <c r="I9" i="88"/>
  <c r="F28" i="89"/>
  <c r="E28" i="89"/>
  <c r="G22" i="89"/>
  <c r="F19" i="88"/>
  <c r="I12" i="88"/>
  <c r="F11" i="89"/>
  <c r="E11" i="89"/>
  <c r="I31" i="88"/>
  <c r="F8" i="89"/>
  <c r="E8" i="89"/>
  <c r="I25" i="88"/>
  <c r="E10" i="89"/>
  <c r="F10" i="89"/>
  <c r="F17" i="88"/>
  <c r="G19" i="89"/>
  <c r="F22" i="88"/>
  <c r="G5" i="89"/>
  <c r="F29" i="88"/>
  <c r="G24" i="89"/>
  <c r="I14" i="88"/>
  <c r="E13" i="89"/>
  <c r="F13" i="89"/>
  <c r="F14" i="88"/>
  <c r="G13" i="89"/>
  <c r="F16" i="88"/>
  <c r="G18" i="89"/>
  <c r="I8" i="88"/>
  <c r="F7" i="89"/>
  <c r="E7" i="89"/>
  <c r="I4" i="88"/>
  <c r="E17" i="89"/>
  <c r="F17" i="89"/>
  <c r="I24" i="88"/>
  <c r="E9" i="89"/>
  <c r="F9" i="89"/>
  <c r="I19" i="88"/>
  <c r="E22" i="89"/>
  <c r="F22" i="89"/>
  <c r="F5" i="88"/>
  <c r="G29" i="89"/>
  <c r="F15" i="88"/>
  <c r="G16" i="89"/>
  <c r="F7" i="88"/>
  <c r="G30" i="89"/>
  <c r="I17" i="88"/>
  <c r="E19" i="89"/>
  <c r="F19" i="89"/>
  <c r="F26" i="88"/>
  <c r="G3" i="89"/>
  <c r="F6" i="88"/>
  <c r="G23" i="89"/>
  <c r="F10" i="88"/>
  <c r="G27" i="89"/>
  <c r="I15" i="88"/>
  <c r="F16" i="89"/>
  <c r="E16" i="89"/>
  <c r="F27" i="88"/>
  <c r="G4" i="89"/>
  <c r="I21" i="88"/>
  <c r="E21" i="89"/>
  <c r="F21" i="89"/>
  <c r="I18" i="88"/>
  <c r="F20" i="89"/>
  <c r="E20" i="89"/>
  <c r="F23" i="88"/>
  <c r="G26" i="89"/>
  <c r="I20" i="88"/>
  <c r="F15" i="89"/>
  <c r="E15" i="89"/>
  <c r="F11" i="88"/>
  <c r="G14" i="89"/>
  <c r="F9" i="88"/>
  <c r="G28" i="89"/>
  <c r="I7" i="88"/>
  <c r="F30" i="89"/>
  <c r="E30" i="89"/>
  <c r="F24" i="88"/>
  <c r="G9" i="89"/>
  <c r="I16" i="88"/>
  <c r="E18" i="89"/>
  <c r="F18" i="89"/>
  <c r="I27" i="88"/>
  <c r="F4" i="89"/>
  <c r="E4" i="89"/>
  <c r="H18" i="94" l="1"/>
  <c r="H10" i="94"/>
  <c r="H21" i="94"/>
  <c r="H15" i="94"/>
  <c r="H22" i="94"/>
  <c r="H29" i="94"/>
  <c r="H7" i="94"/>
  <c r="H3" i="94"/>
  <c r="H9" i="94"/>
  <c r="H17" i="94"/>
  <c r="H6" i="94"/>
  <c r="H12" i="94"/>
  <c r="H26" i="94"/>
  <c r="H11" i="94"/>
  <c r="H20" i="94"/>
  <c r="H8" i="94"/>
  <c r="H24" i="94"/>
  <c r="H25" i="94"/>
  <c r="H14" i="94"/>
  <c r="H5" i="94"/>
  <c r="H16" i="94"/>
  <c r="H19" i="94"/>
  <c r="H13" i="94"/>
  <c r="H23" i="94"/>
  <c r="H28" i="94"/>
  <c r="H4" i="94"/>
  <c r="H27" i="94"/>
  <c r="H5" i="91"/>
  <c r="H2" i="94"/>
  <c r="P23" i="93"/>
  <c r="V23" i="93" s="1"/>
  <c r="G21" i="94" s="1"/>
  <c r="P17" i="93"/>
  <c r="V17" i="93" s="1"/>
  <c r="G18" i="94" s="1"/>
  <c r="V9" i="88"/>
  <c r="P11" i="93"/>
  <c r="V11" i="93" s="1"/>
  <c r="G20" i="94" s="1"/>
  <c r="P14" i="93"/>
  <c r="V14" i="93" s="1"/>
  <c r="G23" i="94" s="1"/>
  <c r="R13" i="93"/>
  <c r="L13" i="93" s="1"/>
  <c r="F22" i="94" s="1"/>
  <c r="P20" i="93"/>
  <c r="V20" i="93" s="1"/>
  <c r="G19" i="94" s="1"/>
  <c r="P7" i="90"/>
  <c r="R7" i="90" s="1"/>
  <c r="L7" i="90" s="1"/>
  <c r="P19" i="90"/>
  <c r="R19" i="90" s="1"/>
  <c r="L19" i="90" s="1"/>
  <c r="P3" i="90"/>
  <c r="R3" i="90" s="1"/>
  <c r="L3" i="90" s="1"/>
  <c r="P24" i="90"/>
  <c r="R24" i="90" s="1"/>
  <c r="L24" i="90" s="1"/>
  <c r="P12" i="90"/>
  <c r="R12" i="90" s="1"/>
  <c r="L12" i="90" s="1"/>
  <c r="P18" i="90"/>
  <c r="R18" i="90" s="1"/>
  <c r="L18" i="90" s="1"/>
  <c r="P2" i="90"/>
  <c r="R2" i="90" s="1"/>
  <c r="P11" i="90"/>
  <c r="R11" i="90" s="1"/>
  <c r="L11" i="90" s="1"/>
  <c r="P23" i="90"/>
  <c r="R23" i="90" s="1"/>
  <c r="L23" i="90" s="1"/>
  <c r="P4" i="90"/>
  <c r="R4" i="90" s="1"/>
  <c r="L4" i="90" s="1"/>
  <c r="P25" i="90"/>
  <c r="R25" i="90" s="1"/>
  <c r="L25" i="90" s="1"/>
  <c r="P14" i="90"/>
  <c r="R14" i="90" s="1"/>
  <c r="L14" i="90" s="1"/>
  <c r="P9" i="90"/>
  <c r="R9" i="90" s="1"/>
  <c r="L9" i="90" s="1"/>
  <c r="P20" i="90"/>
  <c r="R20" i="90" s="1"/>
  <c r="L20" i="90" s="1"/>
  <c r="P8" i="90"/>
  <c r="R8" i="90" s="1"/>
  <c r="L8" i="90" s="1"/>
  <c r="P17" i="90"/>
  <c r="R17" i="90" s="1"/>
  <c r="L17" i="90" s="1"/>
  <c r="P10" i="90"/>
  <c r="R10" i="90" s="1"/>
  <c r="L10" i="90" s="1"/>
  <c r="P13" i="90"/>
  <c r="R13" i="90" s="1"/>
  <c r="L13" i="90" s="1"/>
  <c r="P21" i="90"/>
  <c r="R21" i="90" s="1"/>
  <c r="L21" i="90" s="1"/>
  <c r="P15" i="90"/>
  <c r="R15" i="90" s="1"/>
  <c r="L15" i="90" s="1"/>
  <c r="P5" i="90"/>
  <c r="R5" i="90" s="1"/>
  <c r="L5" i="90" s="1"/>
  <c r="P12" i="93"/>
  <c r="V12" i="93" s="1"/>
  <c r="G29" i="94" s="1"/>
  <c r="P19" i="93"/>
  <c r="V19" i="93" s="1"/>
  <c r="G16" i="94" s="1"/>
  <c r="R10" i="93"/>
  <c r="L10" i="93" s="1"/>
  <c r="F25" i="94" s="1"/>
  <c r="P16" i="93"/>
  <c r="V16" i="93" s="1"/>
  <c r="G12" i="94" s="1"/>
  <c r="P22" i="93"/>
  <c r="V22" i="93" s="1"/>
  <c r="G28" i="94" s="1"/>
  <c r="V6" i="88"/>
  <c r="P15" i="93"/>
  <c r="V15" i="93" s="1"/>
  <c r="G11" i="94" s="1"/>
  <c r="R18" i="93"/>
  <c r="L18" i="93" s="1"/>
  <c r="F15" i="94" s="1"/>
  <c r="P21" i="93"/>
  <c r="V21" i="93" s="1"/>
  <c r="G27" i="94" s="1"/>
  <c r="P9" i="93"/>
  <c r="V9" i="93" s="1"/>
  <c r="G24" i="94" s="1"/>
  <c r="V29" i="88"/>
  <c r="L29" i="88" s="1"/>
  <c r="M29" i="88" s="1"/>
  <c r="N29" i="88" s="1"/>
  <c r="V23" i="88"/>
  <c r="V24" i="88"/>
  <c r="L27" i="90"/>
  <c r="P28" i="93"/>
  <c r="V28" i="93" s="1"/>
  <c r="G14" i="94" s="1"/>
  <c r="R26" i="93"/>
  <c r="L26" i="93" s="1"/>
  <c r="F9" i="94" s="1"/>
  <c r="N6" i="93"/>
  <c r="L6" i="93"/>
  <c r="F7" i="94" s="1"/>
  <c r="L28" i="90"/>
  <c r="N8" i="93"/>
  <c r="L8" i="93"/>
  <c r="F5" i="94" s="1"/>
  <c r="P24" i="93"/>
  <c r="V24" i="93" s="1"/>
  <c r="G26" i="94" s="1"/>
  <c r="N7" i="93"/>
  <c r="L29" i="90"/>
  <c r="P29" i="93"/>
  <c r="V29" i="93" s="1"/>
  <c r="G17" i="94" s="1"/>
  <c r="L7" i="93"/>
  <c r="F3" i="94" s="1"/>
  <c r="V22" i="88"/>
  <c r="V10" i="88"/>
  <c r="L10" i="88" s="1"/>
  <c r="M10" i="88" s="1"/>
  <c r="N10" i="88" s="1"/>
  <c r="V26" i="88"/>
  <c r="V5" i="88"/>
  <c r="L5" i="88" s="1"/>
  <c r="M5" i="88" s="1"/>
  <c r="N5" i="88" s="1"/>
  <c r="V11" i="88"/>
  <c r="V17" i="88"/>
  <c r="V25" i="88"/>
  <c r="V12" i="88"/>
  <c r="V4" i="88"/>
  <c r="V27" i="88"/>
  <c r="V15" i="88"/>
  <c r="V16" i="88"/>
  <c r="V18" i="88"/>
  <c r="V21" i="88"/>
  <c r="V13" i="88"/>
  <c r="V19" i="88"/>
  <c r="V30" i="88"/>
  <c r="V31" i="88"/>
  <c r="V7" i="88"/>
  <c r="V14" i="88"/>
  <c r="V8" i="88"/>
  <c r="V20" i="88"/>
  <c r="V28" i="88"/>
  <c r="H21" i="88"/>
  <c r="H6" i="88"/>
  <c r="H12" i="88"/>
  <c r="H23" i="88"/>
  <c r="H27" i="88"/>
  <c r="H7" i="88"/>
  <c r="H25" i="88"/>
  <c r="H29" i="88"/>
  <c r="H17" i="88"/>
  <c r="H24" i="88"/>
  <c r="H31" i="88"/>
  <c r="H9" i="88"/>
  <c r="H5" i="88"/>
  <c r="H11" i="88"/>
  <c r="H16" i="88"/>
  <c r="H18" i="88"/>
  <c r="H15" i="88"/>
  <c r="H30" i="88"/>
  <c r="H20" i="88"/>
  <c r="H19" i="88"/>
  <c r="H8" i="88"/>
  <c r="H14" i="88"/>
  <c r="H28" i="88"/>
  <c r="H13" i="88"/>
  <c r="H22" i="88"/>
  <c r="H10" i="88"/>
  <c r="H26" i="88"/>
  <c r="R25" i="93"/>
  <c r="L25" i="93" s="1"/>
  <c r="F10" i="94" s="1"/>
  <c r="R27" i="93"/>
  <c r="L27" i="93" s="1"/>
  <c r="F13" i="94" s="1"/>
  <c r="H4" i="88"/>
  <c r="F5" i="91"/>
  <c r="R23" i="93" l="1"/>
  <c r="L23" i="93" s="1"/>
  <c r="F21" i="94" s="1"/>
  <c r="R17" i="93"/>
  <c r="L17" i="93" s="1"/>
  <c r="F18" i="94" s="1"/>
  <c r="R11" i="93"/>
  <c r="L11" i="93" s="1"/>
  <c r="F20" i="94" s="1"/>
  <c r="R20" i="93"/>
  <c r="L20" i="93" s="1"/>
  <c r="F19" i="94" s="1"/>
  <c r="R14" i="93"/>
  <c r="L14" i="93" s="1"/>
  <c r="F23" i="94" s="1"/>
  <c r="R12" i="93"/>
  <c r="L12" i="93" s="1"/>
  <c r="F29" i="94" s="1"/>
  <c r="R22" i="93"/>
  <c r="L22" i="93" s="1"/>
  <c r="F28" i="94" s="1"/>
  <c r="R19" i="93"/>
  <c r="L19" i="93" s="1"/>
  <c r="F16" i="94" s="1"/>
  <c r="R16" i="93"/>
  <c r="L16" i="93" s="1"/>
  <c r="F12" i="94" s="1"/>
  <c r="R15" i="93"/>
  <c r="L15" i="93" s="1"/>
  <c r="F11" i="94" s="1"/>
  <c r="R21" i="93"/>
  <c r="L21" i="93" s="1"/>
  <c r="F27" i="94" s="1"/>
  <c r="R9" i="93"/>
  <c r="L9" i="93" s="1"/>
  <c r="F24" i="94" s="1"/>
  <c r="R28" i="93"/>
  <c r="L28" i="93" s="1"/>
  <c r="F14" i="94" s="1"/>
  <c r="R29" i="93"/>
  <c r="L29" i="93" s="1"/>
  <c r="F17" i="94" s="1"/>
  <c r="R24" i="93"/>
  <c r="L24" i="93" s="1"/>
  <c r="F26" i="94" s="1"/>
  <c r="G26" i="88"/>
  <c r="G11" i="88"/>
  <c r="G16" i="88"/>
  <c r="B10" i="91"/>
  <c r="L2" i="90"/>
  <c r="R10" i="88"/>
  <c r="Q10" i="88" s="1"/>
  <c r="P10" i="88" s="1"/>
  <c r="R29" i="88"/>
  <c r="Q29" i="88" s="1"/>
  <c r="P29" i="88" s="1"/>
  <c r="R5" i="88"/>
  <c r="Q5" i="88" s="1"/>
  <c r="P5" i="88" s="1"/>
  <c r="G4" i="88"/>
  <c r="H34" i="88"/>
  <c r="H35" i="88"/>
  <c r="G20" i="88"/>
  <c r="R14" i="88"/>
  <c r="Q14" i="88" s="1"/>
  <c r="P14" i="88" s="1"/>
  <c r="L14" i="88"/>
  <c r="M14" i="88" s="1"/>
  <c r="N14" i="88" s="1"/>
  <c r="R31" i="88"/>
  <c r="Q31" i="88" s="1"/>
  <c r="P31" i="88" s="1"/>
  <c r="L31" i="88"/>
  <c r="M31" i="88" s="1"/>
  <c r="N31" i="88" s="1"/>
  <c r="L19" i="88"/>
  <c r="M19" i="88" s="1"/>
  <c r="N19" i="88" s="1"/>
  <c r="R19" i="88"/>
  <c r="Q19" i="88" s="1"/>
  <c r="P19" i="88" s="1"/>
  <c r="L25" i="88"/>
  <c r="M25" i="88" s="1"/>
  <c r="N25" i="88" s="1"/>
  <c r="R25" i="88"/>
  <c r="Q25" i="88" s="1"/>
  <c r="P25" i="88" s="1"/>
  <c r="L30" i="88"/>
  <c r="M30" i="88" s="1"/>
  <c r="N30" i="88" s="1"/>
  <c r="R30" i="88"/>
  <c r="Q30" i="88" s="1"/>
  <c r="P30" i="88" s="1"/>
  <c r="R28" i="88"/>
  <c r="Q28" i="88" s="1"/>
  <c r="P28" i="88" s="1"/>
  <c r="L28" i="88"/>
  <c r="M28" i="88" s="1"/>
  <c r="N28" i="88" s="1"/>
  <c r="R17" i="88"/>
  <c r="Q17" i="88" s="1"/>
  <c r="P17" i="88" s="1"/>
  <c r="L17" i="88"/>
  <c r="M17" i="88" s="1"/>
  <c r="N17" i="88" s="1"/>
  <c r="R27" i="88"/>
  <c r="Q27" i="88" s="1"/>
  <c r="P27" i="88" s="1"/>
  <c r="L27" i="88"/>
  <c r="M27" i="88" s="1"/>
  <c r="N27" i="88" s="1"/>
  <c r="L20" i="88"/>
  <c r="M20" i="88" s="1"/>
  <c r="N20" i="88" s="1"/>
  <c r="R20" i="88"/>
  <c r="Q20" i="88" s="1"/>
  <c r="P20" i="88" s="1"/>
  <c r="L22" i="88"/>
  <c r="M22" i="88" s="1"/>
  <c r="N22" i="88" s="1"/>
  <c r="R22" i="88"/>
  <c r="Q22" i="88" s="1"/>
  <c r="P22" i="88" s="1"/>
  <c r="L8" i="88"/>
  <c r="M8" i="88" s="1"/>
  <c r="N8" i="88" s="1"/>
  <c r="R8" i="88"/>
  <c r="Q8" i="88" s="1"/>
  <c r="P8" i="88" s="1"/>
  <c r="L7" i="88"/>
  <c r="M7" i="88" s="1"/>
  <c r="N7" i="88" s="1"/>
  <c r="R7" i="88"/>
  <c r="Q7" i="88" s="1"/>
  <c r="P7" i="88" s="1"/>
  <c r="L11" i="88"/>
  <c r="M11" i="88" s="1"/>
  <c r="N11" i="88" s="1"/>
  <c r="R11" i="88"/>
  <c r="Q11" i="88" s="1"/>
  <c r="P11" i="88" s="1"/>
  <c r="R12" i="88"/>
  <c r="Q12" i="88" s="1"/>
  <c r="P12" i="88" s="1"/>
  <c r="L12" i="88"/>
  <c r="M12" i="88" s="1"/>
  <c r="N12" i="88" s="1"/>
  <c r="R24" i="88"/>
  <c r="Q24" i="88" s="1"/>
  <c r="P24" i="88" s="1"/>
  <c r="L24" i="88"/>
  <c r="M24" i="88" s="1"/>
  <c r="N24" i="88" s="1"/>
  <c r="R4" i="88"/>
  <c r="Q4" i="88" s="1"/>
  <c r="P4" i="88" s="1"/>
  <c r="L4" i="88"/>
  <c r="M4" i="88" s="1"/>
  <c r="N4" i="88" s="1"/>
  <c r="R6" i="88"/>
  <c r="Q6" i="88" s="1"/>
  <c r="P6" i="88" s="1"/>
  <c r="L6" i="88"/>
  <c r="M6" i="88" s="1"/>
  <c r="N6" i="88" s="1"/>
  <c r="R18" i="88"/>
  <c r="Q18" i="88" s="1"/>
  <c r="P18" i="88" s="1"/>
  <c r="L18" i="88"/>
  <c r="M18" i="88" s="1"/>
  <c r="N18" i="88" s="1"/>
  <c r="R15" i="88"/>
  <c r="Q15" i="88" s="1"/>
  <c r="P15" i="88" s="1"/>
  <c r="L15" i="88"/>
  <c r="M15" i="88" s="1"/>
  <c r="N15" i="88" s="1"/>
  <c r="R23" i="88"/>
  <c r="Q23" i="88" s="1"/>
  <c r="P23" i="88" s="1"/>
  <c r="L23" i="88"/>
  <c r="M23" i="88" s="1"/>
  <c r="N23" i="88" s="1"/>
  <c r="L13" i="88"/>
  <c r="M13" i="88" s="1"/>
  <c r="N13" i="88" s="1"/>
  <c r="R13" i="88"/>
  <c r="Q13" i="88" s="1"/>
  <c r="P13" i="88" s="1"/>
  <c r="R16" i="88"/>
  <c r="Q16" i="88" s="1"/>
  <c r="P16" i="88" s="1"/>
  <c r="L16" i="88"/>
  <c r="M16" i="88" s="1"/>
  <c r="N16" i="88" s="1"/>
  <c r="R21" i="88"/>
  <c r="Q21" i="88" s="1"/>
  <c r="P21" i="88" s="1"/>
  <c r="L21" i="88"/>
  <c r="M21" i="88" s="1"/>
  <c r="N21" i="88" s="1"/>
  <c r="R26" i="88"/>
  <c r="Q26" i="88" s="1"/>
  <c r="P26" i="88" s="1"/>
  <c r="L26" i="88"/>
  <c r="M26" i="88" s="1"/>
  <c r="N26" i="88" s="1"/>
  <c r="L9" i="88"/>
  <c r="M9" i="88" s="1"/>
  <c r="N9" i="88" s="1"/>
  <c r="R9" i="88"/>
  <c r="Q9" i="88" s="1"/>
  <c r="P9" i="88" s="1"/>
</calcChain>
</file>

<file path=xl/connections.xml><?xml version="1.0" encoding="utf-8"?>
<connections xmlns="http://schemas.openxmlformats.org/spreadsheetml/2006/main">
  <connection id="1" keepAlive="1" name="Query - orders-2400365 demo historical" description="Connection to the 'orders-2400365 demo historical' query in the workbook." type="5" refreshedVersion="6" background="1" saveData="1">
    <dbPr connection="Provider=Microsoft.Mashup.OleDb.1;Data Source=$Workbook$;Location=&quot;orders-2400365 demo historical&quot;;Extended Properties=&quot;&quot;" command="SELECT * FROM [orders-2400365 demo historical]"/>
  </connection>
  <connection id="2" keepAlive="1" name="Query - orders-2400365 demo live" description="Connection to the 'orders-2400365 demo live' query in the workbook." type="5" refreshedVersion="6" background="1" saveData="1">
    <dbPr connection="Provider=Microsoft.Mashup.OleDb.1;Data Source=$Workbook$;Location=&quot;orders-2400365 demo live&quot;;Extended Properties=&quot;&quot;" command="SELECT * FROM [orders-2400365 demo live]"/>
  </connection>
  <connection id="3" keepAlive="1" name="Query - orders-4196723 real historical" description="Connection to the 'orders-4196723 real historical' query in the workbook." type="5" refreshedVersion="6" background="1" saveData="1">
    <dbPr connection="Provider=Microsoft.Mashup.OleDb.1;Data Source=$Workbook$;Location=&quot;orders-4196723 real historical&quot;;Extended Properties=&quot;&quot;" command="SELECT * FROM [orders-4196723 real historical]"/>
  </connection>
  <connection id="4" keepAlive="1" name="Query - orders-4196723 real live" description="Connection to the 'orders-4196723 real live' query in the workbook." type="5" refreshedVersion="6" background="1" saveData="1">
    <dbPr connection="Provider=Microsoft.Mashup.OleDb.1;Data Source=$Workbook$;Location=&quot;orders-4196723 real live&quot;;Extended Properties=&quot;&quot;" command="SELECT * FROM [orders-4196723 real live]"/>
  </connection>
  <connection id="5" keepAlive="1" name="Query - Pair_Specs_Outputs" description="Connection to the 'Pair_Specs_Outputs' query in the workbook." type="5" refreshedVersion="6" background="1" saveData="1">
    <dbPr connection="Provider=Microsoft.Mashup.OleDb.1;Data Source=$Workbook$;Location=Pair_Specs_Outputs;Extended Properties=&quot;&quot;" command="SELECT * FROM [Pair_Specs_Outputs]"/>
  </connection>
  <connection id="6" keepAlive="1" name="Query - Pair_Specs_Outputs (2)" description="Connection to the 'Pair_Specs_Outputs (2)' query in the workbook." type="5" refreshedVersion="6" background="1" saveData="1">
    <dbPr connection="Provider=Microsoft.Mashup.OleDb.1;Data Source=$Workbook$;Location=&quot;Pair_Specs_Outputs (2)&quot;;Extended Properties=&quot;&quot;" command="SELECT * FROM [Pair_Specs_Outputs (2)]"/>
  </connection>
</connections>
</file>

<file path=xl/sharedStrings.xml><?xml version="1.0" encoding="utf-8"?>
<sst xmlns="http://schemas.openxmlformats.org/spreadsheetml/2006/main" count="328" uniqueCount="108">
  <si>
    <t>JPY</t>
  </si>
  <si>
    <t>USD</t>
  </si>
  <si>
    <t>GBP</t>
  </si>
  <si>
    <t>EUR</t>
  </si>
  <si>
    <t>High</t>
  </si>
  <si>
    <t>Low</t>
  </si>
  <si>
    <t>EURUSD</t>
  </si>
  <si>
    <t>GBPNZD</t>
  </si>
  <si>
    <t>EURNZD</t>
  </si>
  <si>
    <t>AUDNZD</t>
  </si>
  <si>
    <t>GBPAUD</t>
  </si>
  <si>
    <t>EURAUD</t>
  </si>
  <si>
    <t>USDCAD</t>
  </si>
  <si>
    <t>NZDCAD</t>
  </si>
  <si>
    <t>GBPCAD</t>
  </si>
  <si>
    <t>EURCAD</t>
  </si>
  <si>
    <t>AUDCAD</t>
  </si>
  <si>
    <t>USDJPY</t>
  </si>
  <si>
    <t>NZDJPY</t>
  </si>
  <si>
    <t>GBPJPY</t>
  </si>
  <si>
    <t>EURJPY</t>
  </si>
  <si>
    <t>CHFJPY</t>
  </si>
  <si>
    <t>CADJPY</t>
  </si>
  <si>
    <t>AUDJPY</t>
  </si>
  <si>
    <t>NZDUSD</t>
  </si>
  <si>
    <t>GBPUSD</t>
  </si>
  <si>
    <t>AUDUSD</t>
  </si>
  <si>
    <t>USDCHF</t>
  </si>
  <si>
    <t>NZDCHF</t>
  </si>
  <si>
    <t>GBPCHF</t>
  </si>
  <si>
    <t>EURCHF</t>
  </si>
  <si>
    <t>CADCHF</t>
  </si>
  <si>
    <t>AUDCHF</t>
  </si>
  <si>
    <t>EURGBP</t>
  </si>
  <si>
    <t>Other</t>
  </si>
  <si>
    <t>L</t>
  </si>
  <si>
    <t>H</t>
  </si>
  <si>
    <t>Symbol</t>
  </si>
  <si>
    <t>Bid</t>
  </si>
  <si>
    <t>Ask</t>
  </si>
  <si>
    <t>Margin %</t>
  </si>
  <si>
    <t>Spread</t>
  </si>
  <si>
    <t>Spread Pips</t>
  </si>
  <si>
    <t>Spread Points</t>
  </si>
  <si>
    <t>Avg Price</t>
  </si>
  <si>
    <t>DDE</t>
  </si>
  <si>
    <t>T/B</t>
  </si>
  <si>
    <t>Filter</t>
  </si>
  <si>
    <t>Distance</t>
  </si>
  <si>
    <t>Rng</t>
  </si>
  <si>
    <t>MT4 DDE Live Market Data</t>
  </si>
  <si>
    <t>Currency</t>
  </si>
  <si>
    <t>Left</t>
  </si>
  <si>
    <t>Right</t>
  </si>
  <si>
    <t>Trade Size</t>
  </si>
  <si>
    <t>Factor</t>
  </si>
  <si>
    <t>Is USD?</t>
  </si>
  <si>
    <t>1st USD</t>
  </si>
  <si>
    <t>2nd USD</t>
  </si>
  <si>
    <t>Ask Price</t>
  </si>
  <si>
    <t>Bid Price</t>
  </si>
  <si>
    <t>Pip Value</t>
  </si>
  <si>
    <t>USD 2nd Pair</t>
  </si>
  <si>
    <t>USD 1st Pair</t>
  </si>
  <si>
    <t>Neither USD</t>
  </si>
  <si>
    <t>Lot</t>
  </si>
  <si>
    <t>Account</t>
  </si>
  <si>
    <t>Base Unit</t>
  </si>
  <si>
    <t>Base Pair</t>
  </si>
  <si>
    <t>Base Exchange</t>
  </si>
  <si>
    <t>Is Prim USD</t>
  </si>
  <si>
    <t>Is 2nd USD?</t>
  </si>
  <si>
    <t>Format 1</t>
  </si>
  <si>
    <t>Format 2</t>
  </si>
  <si>
    <t>USD Exchange</t>
  </si>
  <si>
    <t>Split 1</t>
  </si>
  <si>
    <t>Split 2</t>
  </si>
  <si>
    <t>Required Margin</t>
  </si>
  <si>
    <t>Calculation Table</t>
  </si>
  <si>
    <t>Req Margin</t>
  </si>
  <si>
    <t>Lot Size</t>
  </si>
  <si>
    <t>Margin</t>
  </si>
  <si>
    <t>Divisor</t>
  </si>
  <si>
    <t>XAUUSD</t>
  </si>
  <si>
    <t>Leverage</t>
  </si>
  <si>
    <t>Enter Lot Size</t>
  </si>
  <si>
    <t>Units</t>
  </si>
  <si>
    <t>Enter A/C Leverage</t>
  </si>
  <si>
    <t>Input cells marked in Gold</t>
  </si>
  <si>
    <t>Server Time</t>
  </si>
  <si>
    <t>Range</t>
  </si>
  <si>
    <t>USDSGD</t>
  </si>
  <si>
    <t>Average</t>
  </si>
  <si>
    <t>Price Table</t>
  </si>
  <si>
    <t>Margin Required</t>
  </si>
  <si>
    <t>CALCULATED</t>
  </si>
  <si>
    <t>Quote</t>
  </si>
  <si>
    <t>Pips less than</t>
  </si>
  <si>
    <t>Pips more than</t>
  </si>
  <si>
    <t>Market Range more than</t>
  </si>
  <si>
    <t>Market Range less than</t>
  </si>
  <si>
    <t>Input for highlights</t>
  </si>
  <si>
    <t>lot size</t>
  </si>
  <si>
    <t>ADR(30)</t>
  </si>
  <si>
    <t>%</t>
  </si>
  <si>
    <t>ADR Percent more than</t>
  </si>
  <si>
    <t>don’t make any changes to these values.</t>
  </si>
  <si>
    <t>don’t make any changes to the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</si>
</sst>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_-;\-* #,##0.00_-;_-* &quot;-&quot;??_-;_-@_-"/>
    <numFmt numFmtId="164" formatCode="&quot;$&quot;#,##0.00_);[Red]\(&quot;$&quot;#,##0.00\)"/>
    <numFmt numFmtId="165" formatCode="0.0"/>
    <numFmt numFmtId="166" formatCode="0.0000"/>
    <numFmt numFmtId="167" formatCode="hh\.mm\.ss"/>
    <numFmt numFmtId="168" formatCode="0.000"/>
    <numFmt numFmtId="169" formatCode="0.00000"/>
    <numFmt numFmtId="170" formatCode="&quot;$&quot;#,##0.0000"/>
    <numFmt numFmtId="171" formatCode="0.0%"/>
    <numFmt numFmtId="172" formatCode="&quot;$&quot;#,##0.00000"/>
    <numFmt numFmtId="173" formatCode="&quot;$&quot;#,##0.00"/>
    <numFmt numFmtId="174" formatCode="_-* #,##0_-;\-* #,##0_-;_-* &quot;-&quot;??_-;_-@_-"/>
  </numFmts>
  <fonts count="3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1"/>
      <name val="Consolas"/>
      <family val="3"/>
    </font>
    <font>
      <b/>
      <sz val="18"/>
      <color theme="1"/>
      <name val="Consolas"/>
      <family val="3"/>
    </font>
    <font>
      <sz val="11"/>
      <color theme="1"/>
      <name val="Calibri"/>
      <family val="2"/>
      <scheme val="minor"/>
    </font>
    <font>
      <u/>
      <sz val="10"/>
      <color theme="1"/>
      <name val="Consolas"/>
      <family val="3"/>
    </font>
    <font>
      <sz val="10"/>
      <color rgb="FF006100"/>
      <name val="Consolas"/>
      <family val="3"/>
    </font>
    <font>
      <sz val="10"/>
      <color rgb="FF9C0006"/>
      <name val="Consolas"/>
      <family val="3"/>
    </font>
    <font>
      <sz val="9"/>
      <color theme="1"/>
      <name val="Consolas"/>
      <family val="3"/>
    </font>
    <font>
      <sz val="9"/>
      <color rgb="FF006100"/>
      <name val="Consolas"/>
      <family val="3"/>
    </font>
    <font>
      <sz val="9"/>
      <color rgb="FF9C0006"/>
      <name val="Consolas"/>
      <family val="3"/>
    </font>
    <font>
      <sz val="9"/>
      <name val="Consolas"/>
      <family val="3"/>
    </font>
    <font>
      <sz val="11"/>
      <color theme="1" tint="0.14999847407452621"/>
      <name val="Consolas"/>
      <family val="3"/>
    </font>
    <font>
      <b/>
      <sz val="11"/>
      <color theme="1" tint="0.14999847407452621"/>
      <name val="Consolas"/>
      <family val="3"/>
    </font>
    <font>
      <b/>
      <sz val="14"/>
      <color theme="1" tint="0.14999847407452621"/>
      <name val="Consolas"/>
      <family val="3"/>
    </font>
    <font>
      <b/>
      <sz val="10"/>
      <color theme="1" tint="0.14999847407452621"/>
      <name val="Consolas"/>
      <family val="3"/>
    </font>
    <font>
      <sz val="10"/>
      <color theme="1" tint="0.14999847407452621"/>
      <name val="Consolas"/>
      <family val="3"/>
    </font>
    <font>
      <sz val="12"/>
      <color theme="1" tint="0.14999847407452621"/>
      <name val="Consolas"/>
      <family val="3"/>
    </font>
    <font>
      <sz val="24"/>
      <color theme="1" tint="0.14999847407452621"/>
      <name val="Consolas"/>
      <family val="3"/>
    </font>
    <font>
      <sz val="36"/>
      <color theme="1" tint="0.14999847407452621"/>
      <name val="Consolas"/>
      <family val="3"/>
    </font>
    <font>
      <sz val="18"/>
      <color theme="1" tint="0.14999847407452621"/>
      <name val="Consolas"/>
      <family val="3"/>
    </font>
    <font>
      <b/>
      <sz val="18"/>
      <color rgb="FFC00000"/>
      <name val="Consolas"/>
      <family val="3"/>
    </font>
    <font>
      <b/>
      <sz val="12"/>
      <color theme="1" tint="0.14999847407452621"/>
      <name val="Consolas"/>
      <family val="3"/>
    </font>
    <font>
      <b/>
      <sz val="10"/>
      <name val="Consolas"/>
      <family val="3"/>
    </font>
    <font>
      <sz val="10"/>
      <name val="Consolas"/>
      <family val="3"/>
    </font>
    <font>
      <sz val="9"/>
      <color theme="1" tint="0.14999847407452621"/>
      <name val="Consolas"/>
      <family val="3"/>
    </font>
    <font>
      <b/>
      <sz val="9"/>
      <color rgb="FF002060"/>
      <name val="Consolas"/>
      <family val="3"/>
    </font>
    <font>
      <sz val="8"/>
      <color rgb="FF920000"/>
      <name val="Consolas"/>
      <family val="3"/>
    </font>
    <font>
      <sz val="8"/>
      <color theme="9" tint="-0.499984740745262"/>
      <name val="Consolas"/>
      <family val="3"/>
    </font>
    <font>
      <b/>
      <sz val="11"/>
      <name val="Consolas"/>
      <family val="3"/>
    </font>
  </fonts>
  <fills count="1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249977111117893"/>
      </left>
      <right/>
      <top/>
      <bottom style="thin">
        <color theme="1" tint="0.249977111117893"/>
      </bottom>
      <diagonal/>
    </border>
    <border>
      <left/>
      <right/>
      <top/>
      <bottom style="thin">
        <color theme="1" tint="0.249977111117893"/>
      </bottom>
      <diagonal/>
    </border>
    <border>
      <left/>
      <right style="thin">
        <color theme="1" tint="0.249977111117893"/>
      </right>
      <top/>
      <bottom style="thin">
        <color theme="1" tint="0.249977111117893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0"/>
      </top>
      <bottom style="thin">
        <color theme="5" tint="-0.249977111117893"/>
      </bottom>
      <diagonal/>
    </border>
    <border>
      <left/>
      <right style="thin">
        <color theme="0"/>
      </right>
      <top style="thin">
        <color theme="5" tint="-0.249977111117893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5" tint="-0.249977111117893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3" borderId="0" applyNumberFormat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03">
    <xf numFmtId="0" fontId="0" fillId="0" borderId="0" xfId="0"/>
    <xf numFmtId="0" fontId="15" fillId="0" borderId="0" xfId="0" applyFont="1" applyFill="1" applyBorder="1"/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center" wrapText="1"/>
    </xf>
    <xf numFmtId="1" fontId="15" fillId="0" borderId="0" xfId="0" applyNumberFormat="1" applyFont="1" applyFill="1" applyBorder="1" applyAlignment="1">
      <alignment vertical="center" wrapText="1"/>
    </xf>
    <xf numFmtId="166" fontId="15" fillId="0" borderId="0" xfId="0" applyNumberFormat="1" applyFont="1" applyFill="1" applyBorder="1" applyAlignment="1">
      <alignment vertical="center" wrapText="1"/>
    </xf>
    <xf numFmtId="164" fontId="15" fillId="0" borderId="0" xfId="0" applyNumberFormat="1" applyFont="1" applyFill="1" applyBorder="1" applyAlignment="1">
      <alignment vertical="center" wrapText="1"/>
    </xf>
    <xf numFmtId="169" fontId="15" fillId="0" borderId="0" xfId="0" applyNumberFormat="1" applyFont="1" applyFill="1" applyBorder="1"/>
    <xf numFmtId="169" fontId="15" fillId="0" borderId="0" xfId="0" applyNumberFormat="1" applyFont="1" applyFill="1" applyBorder="1" applyAlignment="1">
      <alignment vertical="center" wrapText="1"/>
    </xf>
    <xf numFmtId="173" fontId="15" fillId="0" borderId="0" xfId="0" applyNumberFormat="1" applyFont="1" applyFill="1" applyBorder="1"/>
    <xf numFmtId="2" fontId="15" fillId="0" borderId="0" xfId="0" applyNumberFormat="1" applyFont="1" applyFill="1" applyBorder="1"/>
    <xf numFmtId="0" fontId="15" fillId="0" borderId="0" xfId="0" applyFont="1" applyFill="1" applyBorder="1" applyAlignment="1">
      <alignment horizontal="right"/>
    </xf>
    <xf numFmtId="170" fontId="15" fillId="0" borderId="0" xfId="0" applyNumberFormat="1" applyFont="1" applyFill="1" applyBorder="1"/>
    <xf numFmtId="0" fontId="15" fillId="0" borderId="0" xfId="0" applyFont="1" applyFill="1" applyBorder="1" applyAlignment="1">
      <alignment horizontal="left"/>
    </xf>
    <xf numFmtId="1" fontId="15" fillId="0" borderId="0" xfId="0" applyNumberFormat="1" applyFont="1" applyFill="1" applyBorder="1"/>
    <xf numFmtId="166" fontId="15" fillId="0" borderId="0" xfId="0" applyNumberFormat="1" applyFont="1" applyFill="1" applyBorder="1"/>
    <xf numFmtId="2" fontId="16" fillId="0" borderId="0" xfId="2" applyNumberFormat="1" applyFont="1" applyFill="1" applyBorder="1" applyAlignment="1">
      <alignment vertical="center"/>
    </xf>
    <xf numFmtId="2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169" fontId="15" fillId="0" borderId="0" xfId="0" applyNumberFormat="1" applyFont="1" applyFill="1" applyBorder="1" applyAlignment="1">
      <alignment vertical="center"/>
    </xf>
    <xf numFmtId="172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1" fontId="15" fillId="0" borderId="0" xfId="0" applyNumberFormat="1" applyFont="1" applyFill="1" applyBorder="1" applyAlignment="1">
      <alignment vertical="center"/>
    </xf>
    <xf numFmtId="166" fontId="15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4" fillId="0" borderId="0" xfId="0" applyFont="1"/>
    <xf numFmtId="22" fontId="19" fillId="0" borderId="0" xfId="0" applyNumberFormat="1" applyFont="1" applyBorder="1" applyAlignment="1">
      <alignment horizontal="right" vertical="center"/>
    </xf>
    <xf numFmtId="169" fontId="19" fillId="0" borderId="0" xfId="0" applyNumberFormat="1" applyFont="1" applyBorder="1" applyAlignment="1">
      <alignment horizontal="right" vertical="center"/>
    </xf>
    <xf numFmtId="0" fontId="27" fillId="0" borderId="0" xfId="0" applyFont="1" applyFill="1" applyAlignment="1">
      <alignment horizontal="center" vertical="center"/>
    </xf>
    <xf numFmtId="165" fontId="27" fillId="0" borderId="0" xfId="0" applyNumberFormat="1" applyFont="1" applyFill="1" applyAlignment="1">
      <alignment horizontal="right" vertical="center"/>
    </xf>
    <xf numFmtId="0" fontId="27" fillId="0" borderId="0" xfId="2" applyFont="1" applyFill="1" applyBorder="1" applyAlignment="1">
      <alignment horizontal="center" vertical="center"/>
    </xf>
    <xf numFmtId="10" fontId="27" fillId="0" borderId="0" xfId="0" applyNumberFormat="1" applyFont="1" applyFill="1" applyAlignment="1">
      <alignment horizontal="center" vertical="center"/>
    </xf>
    <xf numFmtId="22" fontId="26" fillId="13" borderId="2" xfId="0" applyNumberFormat="1" applyFont="1" applyFill="1" applyBorder="1" applyAlignment="1">
      <alignment horizontal="center" vertical="center"/>
    </xf>
    <xf numFmtId="165" fontId="26" fillId="13" borderId="2" xfId="0" applyNumberFormat="1" applyFont="1" applyFill="1" applyBorder="1" applyAlignment="1">
      <alignment horizontal="right" vertical="center"/>
    </xf>
    <xf numFmtId="2" fontId="26" fillId="13" borderId="2" xfId="0" applyNumberFormat="1" applyFont="1" applyFill="1" applyBorder="1" applyAlignment="1">
      <alignment horizontal="right" vertical="center"/>
    </xf>
    <xf numFmtId="2" fontId="27" fillId="0" borderId="0" xfId="0" applyNumberFormat="1" applyFont="1" applyFill="1" applyAlignment="1">
      <alignment horizontal="right" vertical="center"/>
    </xf>
    <xf numFmtId="2" fontId="19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right" vertical="center"/>
    </xf>
    <xf numFmtId="0" fontId="19" fillId="9" borderId="2" xfId="0" applyFont="1" applyFill="1" applyBorder="1" applyAlignment="1">
      <alignment horizontal="center" vertical="center"/>
    </xf>
    <xf numFmtId="169" fontId="28" fillId="9" borderId="2" xfId="0" applyNumberFormat="1" applyFont="1" applyFill="1" applyBorder="1" applyAlignment="1">
      <alignment horizontal="right" vertical="center"/>
    </xf>
    <xf numFmtId="169" fontId="28" fillId="9" borderId="2" xfId="1" applyNumberFormat="1" applyFont="1" applyFill="1" applyBorder="1" applyAlignment="1">
      <alignment horizontal="right" vertical="center"/>
    </xf>
    <xf numFmtId="0" fontId="26" fillId="13" borderId="2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vertical="center"/>
    </xf>
    <xf numFmtId="0" fontId="21" fillId="12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top"/>
    </xf>
    <xf numFmtId="0" fontId="15" fillId="0" borderId="3" xfId="0" applyFont="1" applyFill="1" applyBorder="1"/>
    <xf numFmtId="0" fontId="20" fillId="8" borderId="3" xfId="0" applyFont="1" applyFill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right" vertical="center"/>
    </xf>
    <xf numFmtId="169" fontId="15" fillId="5" borderId="3" xfId="0" applyNumberFormat="1" applyFont="1" applyFill="1" applyBorder="1" applyAlignment="1">
      <alignment horizontal="right" vertical="center"/>
    </xf>
    <xf numFmtId="0" fontId="19" fillId="5" borderId="3" xfId="0" applyFont="1" applyFill="1" applyBorder="1" applyAlignment="1">
      <alignment horizontal="right" vertical="center"/>
    </xf>
    <xf numFmtId="169" fontId="19" fillId="5" borderId="3" xfId="0" applyNumberFormat="1" applyFont="1" applyFill="1" applyBorder="1" applyAlignment="1">
      <alignment vertical="center"/>
    </xf>
    <xf numFmtId="0" fontId="23" fillId="12" borderId="3" xfId="0" applyFont="1" applyFill="1" applyBorder="1" applyAlignment="1">
      <alignment horizontal="center" vertical="center"/>
    </xf>
    <xf numFmtId="2" fontId="15" fillId="5" borderId="3" xfId="0" applyNumberFormat="1" applyFont="1" applyFill="1" applyBorder="1" applyAlignment="1">
      <alignment horizontal="right" vertical="center"/>
    </xf>
    <xf numFmtId="171" fontId="23" fillId="12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vertical="center"/>
    </xf>
    <xf numFmtId="0" fontId="23" fillId="8" borderId="3" xfId="0" applyFont="1" applyFill="1" applyBorder="1" applyAlignment="1">
      <alignment horizontal="center" vertical="center"/>
    </xf>
    <xf numFmtId="173" fontId="24" fillId="8" borderId="3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173" fontId="23" fillId="8" borderId="3" xfId="0" applyNumberFormat="1" applyFont="1" applyFill="1" applyBorder="1" applyAlignment="1">
      <alignment horizontal="center" vertical="center"/>
    </xf>
    <xf numFmtId="2" fontId="19" fillId="7" borderId="3" xfId="0" applyNumberFormat="1" applyFont="1" applyFill="1" applyBorder="1" applyAlignment="1">
      <alignment horizontal="center" vertical="center"/>
    </xf>
    <xf numFmtId="10" fontId="19" fillId="7" borderId="3" xfId="0" applyNumberFormat="1" applyFont="1" applyFill="1" applyBorder="1" applyAlignment="1">
      <alignment horizontal="center" vertical="center"/>
    </xf>
    <xf numFmtId="173" fontId="23" fillId="0" borderId="3" xfId="0" applyNumberFormat="1" applyFont="1" applyFill="1" applyBorder="1" applyAlignment="1">
      <alignment horizontal="left" vertical="center"/>
    </xf>
    <xf numFmtId="0" fontId="20" fillId="0" borderId="3" xfId="0" applyFont="1" applyFill="1" applyBorder="1" applyAlignment="1">
      <alignment vertical="top"/>
    </xf>
    <xf numFmtId="172" fontId="19" fillId="7" borderId="3" xfId="0" applyNumberFormat="1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/>
    </xf>
    <xf numFmtId="166" fontId="19" fillId="7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/>
    <xf numFmtId="0" fontId="16" fillId="4" borderId="2" xfId="0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right" vertical="center" wrapText="1"/>
    </xf>
    <xf numFmtId="1" fontId="16" fillId="4" borderId="2" xfId="0" applyNumberFormat="1" applyFont="1" applyFill="1" applyBorder="1" applyAlignment="1">
      <alignment horizontal="center" vertical="center" wrapText="1"/>
    </xf>
    <xf numFmtId="166" fontId="16" fillId="4" borderId="2" xfId="0" applyNumberFormat="1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169" fontId="16" fillId="4" borderId="2" xfId="0" applyNumberFormat="1" applyFont="1" applyFill="1" applyBorder="1" applyAlignment="1">
      <alignment vertical="center"/>
    </xf>
    <xf numFmtId="169" fontId="16" fillId="4" borderId="2" xfId="0" applyNumberFormat="1" applyFont="1" applyFill="1" applyBorder="1" applyAlignment="1">
      <alignment horizontal="center" vertical="center" wrapText="1"/>
    </xf>
    <xf numFmtId="173" fontId="16" fillId="4" borderId="2" xfId="0" applyNumberFormat="1" applyFont="1" applyFill="1" applyBorder="1" applyAlignment="1">
      <alignment horizontal="right" vertical="center"/>
    </xf>
    <xf numFmtId="2" fontId="16" fillId="4" borderId="2" xfId="2" applyNumberFormat="1" applyFont="1" applyFill="1" applyBorder="1" applyAlignment="1">
      <alignment horizontal="right" vertical="center"/>
    </xf>
    <xf numFmtId="2" fontId="16" fillId="4" borderId="2" xfId="0" applyNumberFormat="1" applyFont="1" applyFill="1" applyBorder="1" applyAlignment="1">
      <alignment horizontal="right" vertical="center"/>
    </xf>
    <xf numFmtId="0" fontId="16" fillId="4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left" vertical="center"/>
    </xf>
    <xf numFmtId="1" fontId="15" fillId="0" borderId="2" xfId="0" applyNumberFormat="1" applyFont="1" applyFill="1" applyBorder="1" applyAlignment="1">
      <alignment vertical="center" wrapText="1"/>
    </xf>
    <xf numFmtId="166" fontId="15" fillId="0" borderId="2" xfId="0" applyNumberFormat="1" applyFont="1" applyFill="1" applyBorder="1" applyAlignment="1">
      <alignment vertical="center" wrapText="1"/>
    </xf>
    <xf numFmtId="164" fontId="15" fillId="0" borderId="2" xfId="0" applyNumberFormat="1" applyFont="1" applyFill="1" applyBorder="1" applyAlignment="1">
      <alignment vertical="center" wrapText="1"/>
    </xf>
    <xf numFmtId="169" fontId="15" fillId="0" borderId="2" xfId="0" applyNumberFormat="1" applyFont="1" applyFill="1" applyBorder="1" applyAlignment="1">
      <alignment vertical="center"/>
    </xf>
    <xf numFmtId="169" fontId="15" fillId="0" borderId="2" xfId="0" applyNumberFormat="1" applyFont="1" applyFill="1" applyBorder="1" applyAlignment="1">
      <alignment vertical="center" wrapText="1"/>
    </xf>
    <xf numFmtId="173" fontId="15" fillId="0" borderId="2" xfId="0" applyNumberFormat="1" applyFont="1" applyFill="1" applyBorder="1" applyAlignment="1">
      <alignment vertical="center"/>
    </xf>
    <xf numFmtId="2" fontId="15" fillId="0" borderId="2" xfId="0" applyNumberFormat="1" applyFont="1" applyFill="1" applyBorder="1" applyAlignment="1">
      <alignment vertical="center"/>
    </xf>
    <xf numFmtId="0" fontId="15" fillId="9" borderId="2" xfId="0" applyFont="1" applyFill="1" applyBorder="1" applyAlignment="1">
      <alignment vertical="center"/>
    </xf>
    <xf numFmtId="174" fontId="15" fillId="9" borderId="2" xfId="4" applyNumberFormat="1" applyFont="1" applyFill="1" applyBorder="1" applyAlignment="1">
      <alignment vertical="center"/>
    </xf>
    <xf numFmtId="0" fontId="16" fillId="5" borderId="2" xfId="0" applyFont="1" applyFill="1" applyBorder="1" applyAlignment="1">
      <alignment horizontal="left" vertical="center" wrapText="1"/>
    </xf>
    <xf numFmtId="0" fontId="16" fillId="5" borderId="2" xfId="0" applyFont="1" applyFill="1" applyBorder="1" applyAlignment="1">
      <alignment horizontal="right" vertical="center" wrapText="1"/>
    </xf>
    <xf numFmtId="1" fontId="16" fillId="5" borderId="2" xfId="0" applyNumberFormat="1" applyFont="1" applyFill="1" applyBorder="1" applyAlignment="1">
      <alignment horizontal="center" vertical="center" wrapText="1"/>
    </xf>
    <xf numFmtId="166" fontId="16" fillId="5" borderId="2" xfId="0" applyNumberFormat="1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169" fontId="16" fillId="5" borderId="2" xfId="0" applyNumberFormat="1" applyFont="1" applyFill="1" applyBorder="1" applyAlignment="1">
      <alignment vertical="center"/>
    </xf>
    <xf numFmtId="169" fontId="16" fillId="5" borderId="2" xfId="0" applyNumberFormat="1" applyFont="1" applyFill="1" applyBorder="1" applyAlignment="1">
      <alignment horizontal="center" vertical="center" wrapText="1"/>
    </xf>
    <xf numFmtId="172" fontId="16" fillId="5" borderId="2" xfId="0" applyNumberFormat="1" applyFont="1" applyFill="1" applyBorder="1" applyAlignment="1">
      <alignment horizontal="right" vertical="center"/>
    </xf>
    <xf numFmtId="172" fontId="15" fillId="0" borderId="2" xfId="0" applyNumberFormat="1" applyFont="1" applyFill="1" applyBorder="1" applyAlignment="1">
      <alignment vertical="center"/>
    </xf>
    <xf numFmtId="0" fontId="18" fillId="4" borderId="2" xfId="0" applyNumberFormat="1" applyFont="1" applyFill="1" applyBorder="1" applyAlignment="1">
      <alignment vertical="center"/>
    </xf>
    <xf numFmtId="22" fontId="18" fillId="4" borderId="2" xfId="0" applyNumberFormat="1" applyFont="1" applyFill="1" applyBorder="1" applyAlignment="1">
      <alignment horizontal="right" vertical="center"/>
    </xf>
    <xf numFmtId="0" fontId="18" fillId="4" borderId="2" xfId="0" applyFont="1" applyFill="1" applyBorder="1" applyAlignment="1">
      <alignment horizontal="right" vertical="center"/>
    </xf>
    <xf numFmtId="0" fontId="18" fillId="4" borderId="2" xfId="0" applyFont="1" applyFill="1" applyBorder="1" applyAlignment="1">
      <alignment vertical="center"/>
    </xf>
    <xf numFmtId="0" fontId="19" fillId="0" borderId="2" xfId="0" applyNumberFormat="1" applyFont="1" applyFill="1" applyBorder="1" applyAlignment="1">
      <alignment vertical="center"/>
    </xf>
    <xf numFmtId="22" fontId="19" fillId="0" borderId="2" xfId="0" applyNumberFormat="1" applyFont="1" applyFill="1" applyBorder="1" applyAlignment="1">
      <alignment horizontal="right" vertical="center"/>
    </xf>
    <xf numFmtId="165" fontId="19" fillId="0" borderId="2" xfId="0" applyNumberFormat="1" applyFont="1" applyFill="1" applyBorder="1" applyAlignment="1">
      <alignment horizontal="right" vertical="center"/>
    </xf>
    <xf numFmtId="169" fontId="19" fillId="0" borderId="2" xfId="0" applyNumberFormat="1" applyFont="1" applyFill="1" applyBorder="1" applyAlignment="1">
      <alignment horizontal="right" vertical="center"/>
    </xf>
    <xf numFmtId="166" fontId="19" fillId="0" borderId="2" xfId="0" applyNumberFormat="1" applyFont="1" applyFill="1" applyBorder="1" applyAlignment="1">
      <alignment vertical="center"/>
    </xf>
    <xf numFmtId="169" fontId="18" fillId="4" borderId="2" xfId="0" applyNumberFormat="1" applyFont="1" applyFill="1" applyBorder="1" applyAlignment="1">
      <alignment horizontal="right" vertical="center"/>
    </xf>
    <xf numFmtId="0" fontId="19" fillId="0" borderId="2" xfId="0" applyFont="1" applyBorder="1" applyAlignment="1">
      <alignment vertical="center"/>
    </xf>
    <xf numFmtId="22" fontId="19" fillId="0" borderId="2" xfId="0" applyNumberFormat="1" applyFont="1" applyBorder="1" applyAlignment="1">
      <alignment horizontal="right" vertical="center"/>
    </xf>
    <xf numFmtId="169" fontId="19" fillId="0" borderId="2" xfId="0" applyNumberFormat="1" applyFont="1" applyBorder="1" applyAlignment="1">
      <alignment horizontal="right" vertical="center"/>
    </xf>
    <xf numFmtId="165" fontId="27" fillId="0" borderId="0" xfId="0" applyNumberFormat="1" applyFont="1" applyFill="1" applyAlignment="1">
      <alignment vertical="center"/>
    </xf>
    <xf numFmtId="166" fontId="16" fillId="4" borderId="2" xfId="0" applyNumberFormat="1" applyFont="1" applyFill="1" applyBorder="1" applyAlignment="1">
      <alignment horizontal="right" vertical="center"/>
    </xf>
    <xf numFmtId="166" fontId="15" fillId="0" borderId="2" xfId="0" applyNumberFormat="1" applyFont="1" applyFill="1" applyBorder="1" applyAlignment="1">
      <alignment vertical="center"/>
    </xf>
    <xf numFmtId="0" fontId="19" fillId="7" borderId="0" xfId="0" applyFont="1" applyFill="1" applyBorder="1" applyAlignment="1">
      <alignment vertical="center"/>
    </xf>
    <xf numFmtId="0" fontId="1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19" fillId="0" borderId="2" xfId="0" applyFont="1" applyBorder="1" applyAlignment="1">
      <alignment horizontal="right" vertical="center"/>
    </xf>
    <xf numFmtId="169" fontId="19" fillId="0" borderId="2" xfId="0" applyNumberFormat="1" applyFont="1" applyFill="1" applyBorder="1" applyAlignment="1">
      <alignment vertical="center"/>
    </xf>
    <xf numFmtId="2" fontId="19" fillId="16" borderId="2" xfId="0" applyNumberFormat="1" applyFont="1" applyFill="1" applyBorder="1" applyAlignment="1">
      <alignment horizontal="right" vertical="center"/>
    </xf>
    <xf numFmtId="2" fontId="19" fillId="9" borderId="2" xfId="0" applyNumberFormat="1" applyFont="1" applyFill="1" applyBorder="1" applyAlignment="1">
      <alignment horizontal="right" vertical="center"/>
    </xf>
    <xf numFmtId="165" fontId="26" fillId="0" borderId="2" xfId="1" applyNumberFormat="1" applyFont="1" applyFill="1" applyBorder="1" applyAlignment="1">
      <alignment horizontal="right" vertical="center"/>
    </xf>
    <xf numFmtId="0" fontId="19" fillId="16" borderId="2" xfId="0" applyFont="1" applyFill="1" applyBorder="1" applyAlignment="1">
      <alignment horizontal="center" vertical="center"/>
    </xf>
    <xf numFmtId="169" fontId="28" fillId="16" borderId="2" xfId="0" applyNumberFormat="1" applyFont="1" applyFill="1" applyBorder="1" applyAlignment="1">
      <alignment horizontal="right" vertical="center"/>
    </xf>
    <xf numFmtId="169" fontId="28" fillId="16" borderId="2" xfId="1" applyNumberFormat="1" applyFont="1" applyFill="1" applyBorder="1" applyAlignment="1">
      <alignment horizontal="right" vertical="center"/>
    </xf>
    <xf numFmtId="165" fontId="26" fillId="9" borderId="2" xfId="1" applyNumberFormat="1" applyFont="1" applyFill="1" applyBorder="1" applyAlignment="1">
      <alignment horizontal="right" vertical="center"/>
    </xf>
    <xf numFmtId="0" fontId="26" fillId="13" borderId="2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center" vertical="center"/>
    </xf>
    <xf numFmtId="10" fontId="27" fillId="0" borderId="2" xfId="0" applyNumberFormat="1" applyFont="1" applyFill="1" applyBorder="1" applyAlignment="1">
      <alignment horizontal="center" vertical="center"/>
    </xf>
    <xf numFmtId="10" fontId="27" fillId="9" borderId="2" xfId="0" applyNumberFormat="1" applyFont="1" applyFill="1" applyBorder="1" applyAlignment="1">
      <alignment horizontal="center" vertical="center"/>
    </xf>
    <xf numFmtId="22" fontId="28" fillId="16" borderId="2" xfId="0" applyNumberFormat="1" applyFont="1" applyFill="1" applyBorder="1" applyAlignment="1">
      <alignment horizontal="center" vertical="center"/>
    </xf>
    <xf numFmtId="22" fontId="28" fillId="9" borderId="2" xfId="0" applyNumberFormat="1" applyFont="1" applyFill="1" applyBorder="1" applyAlignment="1">
      <alignment horizontal="center" vertical="center"/>
    </xf>
    <xf numFmtId="22" fontId="27" fillId="0" borderId="0" xfId="0" applyNumberFormat="1" applyFont="1" applyFill="1" applyAlignment="1">
      <alignment horizontal="center" vertical="center"/>
    </xf>
    <xf numFmtId="22" fontId="27" fillId="0" borderId="0" xfId="0" quotePrefix="1" applyNumberFormat="1" applyFont="1" applyFill="1" applyAlignment="1">
      <alignment horizontal="center" vertical="center"/>
    </xf>
    <xf numFmtId="10" fontId="26" fillId="13" borderId="2" xfId="0" applyNumberFormat="1" applyFont="1" applyFill="1" applyBorder="1" applyAlignment="1">
      <alignment horizontal="center" vertical="center"/>
    </xf>
    <xf numFmtId="0" fontId="19" fillId="14" borderId="5" xfId="0" applyFont="1" applyFill="1" applyBorder="1" applyAlignment="1">
      <alignment horizontal="center" vertical="center"/>
    </xf>
    <xf numFmtId="0" fontId="19" fillId="14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right" vertical="center"/>
    </xf>
    <xf numFmtId="0" fontId="17" fillId="12" borderId="3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left" vertical="center"/>
    </xf>
    <xf numFmtId="0" fontId="18" fillId="11" borderId="9" xfId="0" applyFont="1" applyFill="1" applyBorder="1" applyAlignment="1">
      <alignment horizontal="left" vertical="center"/>
    </xf>
    <xf numFmtId="0" fontId="18" fillId="11" borderId="8" xfId="0" applyFont="1" applyFill="1" applyBorder="1" applyAlignment="1">
      <alignment horizontal="left" vertical="center"/>
    </xf>
    <xf numFmtId="0" fontId="16" fillId="10" borderId="7" xfId="0" applyFont="1" applyFill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10" borderId="8" xfId="0" applyFont="1" applyFill="1" applyBorder="1" applyAlignment="1">
      <alignment horizontal="left" vertical="center"/>
    </xf>
    <xf numFmtId="0" fontId="32" fillId="6" borderId="2" xfId="0" applyFont="1" applyFill="1" applyBorder="1" applyAlignment="1">
      <alignment horizontal="center" vertical="center"/>
    </xf>
    <xf numFmtId="0" fontId="8" fillId="0" borderId="3" xfId="2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69" fontId="12" fillId="0" borderId="3" xfId="1" applyNumberFormat="1" applyFont="1" applyFill="1" applyBorder="1" applyAlignment="1">
      <alignment horizontal="right" vertical="center"/>
    </xf>
    <xf numFmtId="165" fontId="5" fillId="0" borderId="3" xfId="0" applyNumberFormat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69" fontId="13" fillId="0" borderId="3" xfId="3" applyNumberFormat="1" applyFont="1" applyFill="1" applyBorder="1" applyAlignment="1">
      <alignment horizontal="right" vertical="center"/>
    </xf>
    <xf numFmtId="165" fontId="9" fillId="0" borderId="3" xfId="1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165" fontId="14" fillId="0" borderId="3" xfId="0" applyNumberFormat="1" applyFont="1" applyFill="1" applyBorder="1" applyAlignment="1">
      <alignment horizontal="right" vertical="center"/>
    </xf>
    <xf numFmtId="10" fontId="30" fillId="0" borderId="3" xfId="0" applyNumberFormat="1" applyFont="1" applyFill="1" applyBorder="1" applyAlignment="1">
      <alignment horizontal="right" vertical="center"/>
    </xf>
    <xf numFmtId="10" fontId="4" fillId="0" borderId="3" xfId="0" applyNumberFormat="1" applyFont="1" applyFill="1" applyBorder="1" applyAlignment="1">
      <alignment horizontal="left" vertical="center"/>
    </xf>
    <xf numFmtId="165" fontId="29" fillId="0" borderId="3" xfId="1" applyNumberFormat="1" applyFont="1" applyFill="1" applyBorder="1" applyAlignment="1">
      <alignment horizontal="right" vertical="center"/>
    </xf>
    <xf numFmtId="10" fontId="9" fillId="0" borderId="3" xfId="1" applyNumberFormat="1" applyFont="1" applyFill="1" applyBorder="1" applyAlignment="1">
      <alignment horizontal="right" vertical="center"/>
    </xf>
    <xf numFmtId="10" fontId="31" fillId="0" borderId="3" xfId="1" applyNumberFormat="1" applyFont="1" applyFill="1" applyBorder="1" applyAlignment="1">
      <alignment horizontal="right" vertical="center"/>
    </xf>
    <xf numFmtId="165" fontId="14" fillId="0" borderId="3" xfId="1" applyNumberFormat="1" applyFont="1" applyFill="1" applyBorder="1" applyAlignment="1">
      <alignment vertical="center"/>
    </xf>
    <xf numFmtId="169" fontId="14" fillId="0" borderId="3" xfId="1" applyNumberFormat="1" applyFont="1" applyFill="1" applyBorder="1" applyAlignment="1">
      <alignment horizontal="right" vertical="center"/>
    </xf>
    <xf numFmtId="169" fontId="9" fillId="0" borderId="3" xfId="1" applyNumberFormat="1" applyFont="1" applyFill="1" applyBorder="1" applyAlignment="1">
      <alignment vertical="center"/>
    </xf>
    <xf numFmtId="22" fontId="11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168" fontId="13" fillId="0" borderId="3" xfId="3" applyNumberFormat="1" applyFont="1" applyFill="1" applyBorder="1" applyAlignment="1">
      <alignment horizontal="right" vertical="center"/>
    </xf>
    <xf numFmtId="168" fontId="9" fillId="0" borderId="3" xfId="1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left" vertical="center"/>
    </xf>
    <xf numFmtId="165" fontId="4" fillId="0" borderId="3" xfId="2" applyNumberFormat="1" applyFont="1" applyFill="1" applyBorder="1" applyAlignment="1">
      <alignment horizontal="left" vertical="center"/>
    </xf>
    <xf numFmtId="10" fontId="4" fillId="0" borderId="3" xfId="2" applyNumberFormat="1" applyFont="1" applyFill="1" applyBorder="1" applyAlignment="1">
      <alignment horizontal="left" vertical="center"/>
    </xf>
    <xf numFmtId="10" fontId="4" fillId="0" borderId="3" xfId="0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22" fontId="4" fillId="0" borderId="3" xfId="0" applyNumberFormat="1" applyFont="1" applyFill="1" applyBorder="1" applyAlignment="1">
      <alignment horizontal="center" vertical="center"/>
    </xf>
    <xf numFmtId="22" fontId="4" fillId="0" borderId="3" xfId="0" applyNumberFormat="1" applyFont="1" applyFill="1" applyBorder="1" applyAlignment="1">
      <alignment vertical="center"/>
    </xf>
    <xf numFmtId="0" fontId="9" fillId="0" borderId="3" xfId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vertical="center"/>
    </xf>
    <xf numFmtId="22" fontId="4" fillId="0" borderId="3" xfId="0" quotePrefix="1" applyNumberFormat="1" applyFont="1" applyFill="1" applyBorder="1" applyAlignment="1">
      <alignment vertical="center"/>
    </xf>
    <xf numFmtId="22" fontId="4" fillId="0" borderId="3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165" fontId="4" fillId="0" borderId="11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/>
    </xf>
    <xf numFmtId="169" fontId="12" fillId="0" borderId="13" xfId="1" applyNumberFormat="1" applyFont="1" applyFill="1" applyBorder="1" applyAlignment="1">
      <alignment horizontal="right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4" fillId="0" borderId="13" xfId="0" applyNumberFormat="1" applyFont="1" applyFill="1" applyBorder="1" applyAlignment="1">
      <alignment horizontal="center" vertical="center"/>
    </xf>
    <xf numFmtId="169" fontId="13" fillId="0" borderId="13" xfId="3" applyNumberFormat="1" applyFont="1" applyFill="1" applyBorder="1" applyAlignment="1">
      <alignment horizontal="right" vertical="center"/>
    </xf>
    <xf numFmtId="165" fontId="9" fillId="0" borderId="13" xfId="1" applyNumberFormat="1" applyFont="1" applyFill="1" applyBorder="1" applyAlignment="1">
      <alignment vertical="center"/>
    </xf>
    <xf numFmtId="169" fontId="14" fillId="0" borderId="13" xfId="0" applyNumberFormat="1" applyFont="1" applyFill="1" applyBorder="1" applyAlignment="1">
      <alignment horizontal="right" vertical="center"/>
    </xf>
    <xf numFmtId="165" fontId="14" fillId="0" borderId="13" xfId="0" applyNumberFormat="1" applyFont="1" applyFill="1" applyBorder="1" applyAlignment="1">
      <alignment horizontal="right" vertical="center"/>
    </xf>
    <xf numFmtId="10" fontId="30" fillId="0" borderId="13" xfId="0" applyNumberFormat="1" applyFont="1" applyFill="1" applyBorder="1" applyAlignment="1">
      <alignment horizontal="right" vertical="center"/>
    </xf>
    <xf numFmtId="10" fontId="4" fillId="0" borderId="13" xfId="0" applyNumberFormat="1" applyFont="1" applyFill="1" applyBorder="1" applyAlignment="1">
      <alignment horizontal="left" vertical="center"/>
    </xf>
    <xf numFmtId="165" fontId="29" fillId="0" borderId="13" xfId="1" applyNumberFormat="1" applyFont="1" applyFill="1" applyBorder="1" applyAlignment="1">
      <alignment horizontal="right" vertical="center"/>
    </xf>
    <xf numFmtId="10" fontId="9" fillId="0" borderId="13" xfId="1" applyNumberFormat="1" applyFont="1" applyFill="1" applyBorder="1" applyAlignment="1">
      <alignment horizontal="right" vertical="center"/>
    </xf>
    <xf numFmtId="10" fontId="31" fillId="0" borderId="13" xfId="1" applyNumberFormat="1" applyFont="1" applyFill="1" applyBorder="1" applyAlignment="1">
      <alignment horizontal="right" vertical="center"/>
    </xf>
    <xf numFmtId="165" fontId="14" fillId="0" borderId="13" xfId="1" applyNumberFormat="1" applyFont="1" applyFill="1" applyBorder="1" applyAlignment="1">
      <alignment vertical="center"/>
    </xf>
    <xf numFmtId="169" fontId="14" fillId="0" borderId="13" xfId="1" applyNumberFormat="1" applyFont="1" applyFill="1" applyBorder="1" applyAlignment="1">
      <alignment horizontal="right" vertical="center"/>
    </xf>
    <xf numFmtId="169" fontId="9" fillId="0" borderId="13" xfId="1" applyNumberFormat="1" applyFont="1" applyFill="1" applyBorder="1" applyAlignment="1">
      <alignment vertical="center"/>
    </xf>
    <xf numFmtId="22" fontId="11" fillId="0" borderId="13" xfId="0" applyNumberFormat="1" applyFont="1" applyFill="1" applyBorder="1" applyAlignment="1">
      <alignment vertical="center"/>
    </xf>
    <xf numFmtId="169" fontId="28" fillId="0" borderId="14" xfId="1" applyNumberFormat="1" applyFont="1" applyFill="1" applyBorder="1" applyAlignment="1">
      <alignment vertical="center"/>
    </xf>
    <xf numFmtId="169" fontId="28" fillId="0" borderId="16" xfId="1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169" fontId="12" fillId="0" borderId="18" xfId="1" applyNumberFormat="1" applyFont="1" applyFill="1" applyBorder="1" applyAlignment="1">
      <alignment horizontal="right" vertical="center"/>
    </xf>
    <xf numFmtId="165" fontId="5" fillId="0" borderId="18" xfId="0" applyNumberFormat="1" applyFont="1" applyFill="1" applyBorder="1" applyAlignment="1">
      <alignment horizontal="center" vertical="center"/>
    </xf>
    <xf numFmtId="165" fontId="4" fillId="0" borderId="18" xfId="0" applyNumberFormat="1" applyFont="1" applyFill="1" applyBorder="1" applyAlignment="1">
      <alignment horizontal="center" vertical="center"/>
    </xf>
    <xf numFmtId="169" fontId="13" fillId="0" borderId="18" xfId="3" applyNumberFormat="1" applyFont="1" applyFill="1" applyBorder="1" applyAlignment="1">
      <alignment horizontal="right" vertical="center"/>
    </xf>
    <xf numFmtId="165" fontId="9" fillId="0" borderId="18" xfId="1" applyNumberFormat="1" applyFont="1" applyFill="1" applyBorder="1" applyAlignment="1">
      <alignment vertical="center"/>
    </xf>
    <xf numFmtId="169" fontId="14" fillId="0" borderId="18" xfId="0" applyNumberFormat="1" applyFont="1" applyFill="1" applyBorder="1" applyAlignment="1">
      <alignment horizontal="right" vertical="center"/>
    </xf>
    <xf numFmtId="165" fontId="14" fillId="0" borderId="18" xfId="0" applyNumberFormat="1" applyFont="1" applyFill="1" applyBorder="1" applyAlignment="1">
      <alignment horizontal="right" vertical="center"/>
    </xf>
    <xf numFmtId="10" fontId="30" fillId="0" borderId="18" xfId="0" applyNumberFormat="1" applyFont="1" applyFill="1" applyBorder="1" applyAlignment="1">
      <alignment horizontal="right" vertical="center"/>
    </xf>
    <xf numFmtId="10" fontId="4" fillId="0" borderId="18" xfId="0" applyNumberFormat="1" applyFont="1" applyFill="1" applyBorder="1" applyAlignment="1">
      <alignment horizontal="left" vertical="center"/>
    </xf>
    <xf numFmtId="165" fontId="29" fillId="0" borderId="18" xfId="1" applyNumberFormat="1" applyFont="1" applyFill="1" applyBorder="1" applyAlignment="1">
      <alignment horizontal="right" vertical="center"/>
    </xf>
    <xf numFmtId="10" fontId="9" fillId="0" borderId="18" xfId="1" applyNumberFormat="1" applyFont="1" applyFill="1" applyBorder="1" applyAlignment="1">
      <alignment horizontal="right" vertical="center"/>
    </xf>
    <xf numFmtId="10" fontId="31" fillId="0" borderId="18" xfId="1" applyNumberFormat="1" applyFont="1" applyFill="1" applyBorder="1" applyAlignment="1">
      <alignment horizontal="right" vertical="center"/>
    </xf>
    <xf numFmtId="165" fontId="14" fillId="0" borderId="18" xfId="1" applyNumberFormat="1" applyFont="1" applyFill="1" applyBorder="1" applyAlignment="1">
      <alignment vertical="center"/>
    </xf>
    <xf numFmtId="169" fontId="14" fillId="0" borderId="18" xfId="1" applyNumberFormat="1" applyFont="1" applyFill="1" applyBorder="1" applyAlignment="1">
      <alignment horizontal="right" vertical="center"/>
    </xf>
    <xf numFmtId="169" fontId="9" fillId="0" borderId="18" xfId="1" applyNumberFormat="1" applyFont="1" applyFill="1" applyBorder="1" applyAlignment="1">
      <alignment vertical="center"/>
    </xf>
    <xf numFmtId="22" fontId="11" fillId="0" borderId="18" xfId="0" applyNumberFormat="1" applyFont="1" applyFill="1" applyBorder="1" applyAlignment="1">
      <alignment vertical="center"/>
    </xf>
    <xf numFmtId="169" fontId="28" fillId="0" borderId="19" xfId="1" applyNumberFormat="1" applyFont="1" applyFill="1" applyBorder="1" applyAlignment="1">
      <alignment vertical="center"/>
    </xf>
    <xf numFmtId="168" fontId="13" fillId="0" borderId="13" xfId="3" applyNumberFormat="1" applyFont="1" applyFill="1" applyBorder="1" applyAlignment="1">
      <alignment horizontal="right" vertical="center"/>
    </xf>
    <xf numFmtId="168" fontId="9" fillId="0" borderId="13" xfId="1" applyNumberFormat="1" applyFont="1" applyFill="1" applyBorder="1" applyAlignment="1">
      <alignment vertical="center"/>
    </xf>
    <xf numFmtId="168" fontId="13" fillId="0" borderId="18" xfId="3" applyNumberFormat="1" applyFont="1" applyFill="1" applyBorder="1" applyAlignment="1">
      <alignment horizontal="right" vertical="center"/>
    </xf>
    <xf numFmtId="168" fontId="9" fillId="0" borderId="18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1" xfId="2" applyFont="1" applyFill="1" applyBorder="1" applyAlignment="1">
      <alignment horizontal="left" vertical="center"/>
    </xf>
    <xf numFmtId="165" fontId="4" fillId="0" borderId="11" xfId="2" applyNumberFormat="1" applyFont="1" applyFill="1" applyBorder="1" applyAlignment="1">
      <alignment horizontal="left" vertical="center"/>
    </xf>
    <xf numFmtId="10" fontId="4" fillId="0" borderId="11" xfId="2" applyNumberFormat="1" applyFont="1" applyFill="1" applyBorder="1" applyAlignment="1">
      <alignment horizontal="left" vertical="center"/>
    </xf>
    <xf numFmtId="10" fontId="4" fillId="0" borderId="11" xfId="0" applyNumberFormat="1" applyFont="1" applyFill="1" applyBorder="1" applyAlignment="1">
      <alignment horizontal="right" vertical="center"/>
    </xf>
    <xf numFmtId="165" fontId="4" fillId="0" borderId="11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22" fontId="4" fillId="0" borderId="11" xfId="0" applyNumberFormat="1" applyFont="1" applyFill="1" applyBorder="1" applyAlignment="1">
      <alignment horizontal="center" vertical="center"/>
    </xf>
    <xf numFmtId="0" fontId="4" fillId="17" borderId="10" xfId="0" applyFont="1" applyFill="1" applyBorder="1" applyAlignment="1">
      <alignment horizontal="center" vertical="center"/>
    </xf>
    <xf numFmtId="0" fontId="4" fillId="17" borderId="10" xfId="0" applyFont="1" applyFill="1" applyBorder="1" applyAlignment="1">
      <alignment vertical="center"/>
    </xf>
    <xf numFmtId="0" fontId="4" fillId="17" borderId="10" xfId="0" applyFont="1" applyFill="1" applyBorder="1" applyAlignment="1">
      <alignment horizontal="right" vertical="center"/>
    </xf>
    <xf numFmtId="165" fontId="4" fillId="17" borderId="10" xfId="0" applyNumberFormat="1" applyFont="1" applyFill="1" applyBorder="1" applyAlignment="1">
      <alignment vertical="center"/>
    </xf>
    <xf numFmtId="165" fontId="4" fillId="17" borderId="10" xfId="0" applyNumberFormat="1" applyFont="1" applyFill="1" applyBorder="1" applyAlignment="1">
      <alignment horizontal="left" vertical="center"/>
    </xf>
    <xf numFmtId="165" fontId="4" fillId="17" borderId="10" xfId="0" applyNumberFormat="1" applyFont="1" applyFill="1" applyBorder="1" applyAlignment="1">
      <alignment horizontal="center" vertical="center"/>
    </xf>
    <xf numFmtId="165" fontId="4" fillId="17" borderId="10" xfId="0" applyNumberFormat="1" applyFont="1" applyFill="1" applyBorder="1" applyAlignment="1">
      <alignment horizontal="right" vertical="center"/>
    </xf>
    <xf numFmtId="22" fontId="4" fillId="17" borderId="1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left" vertical="center"/>
    </xf>
    <xf numFmtId="165" fontId="4" fillId="0" borderId="8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vertical="center"/>
    </xf>
    <xf numFmtId="0" fontId="4" fillId="0" borderId="2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Fill="1" applyBorder="1" applyAlignment="1">
      <alignment horizontal="center" vertical="center"/>
    </xf>
    <xf numFmtId="0" fontId="6" fillId="18" borderId="21" xfId="0" applyFont="1" applyFill="1" applyBorder="1" applyAlignment="1">
      <alignment horizontal="center" vertical="center"/>
    </xf>
    <xf numFmtId="0" fontId="6" fillId="18" borderId="22" xfId="0" applyFont="1" applyFill="1" applyBorder="1" applyAlignment="1">
      <alignment horizontal="center" vertical="center"/>
    </xf>
    <xf numFmtId="0" fontId="6" fillId="18" borderId="23" xfId="0" applyFont="1" applyFill="1" applyBorder="1" applyAlignment="1">
      <alignment horizontal="center" vertical="center"/>
    </xf>
    <xf numFmtId="0" fontId="6" fillId="18" borderId="24" xfId="0" applyFont="1" applyFill="1" applyBorder="1" applyAlignment="1">
      <alignment horizontal="center" vertical="center"/>
    </xf>
    <xf numFmtId="0" fontId="6" fillId="18" borderId="25" xfId="0" applyFont="1" applyFill="1" applyBorder="1" applyAlignment="1">
      <alignment horizontal="center" vertical="center"/>
    </xf>
    <xf numFmtId="0" fontId="6" fillId="18" borderId="26" xfId="0" applyFont="1" applyFill="1" applyBorder="1" applyAlignment="1">
      <alignment horizontal="center" vertical="center"/>
    </xf>
    <xf numFmtId="0" fontId="19" fillId="15" borderId="5" xfId="0" applyFont="1" applyFill="1" applyBorder="1" applyAlignment="1">
      <alignment horizontal="center" vertical="center"/>
    </xf>
    <xf numFmtId="0" fontId="27" fillId="15" borderId="4" xfId="0" applyFont="1" applyFill="1" applyBorder="1" applyAlignment="1">
      <alignment horizontal="center" vertical="center"/>
    </xf>
    <xf numFmtId="0" fontId="27" fillId="15" borderId="5" xfId="0" applyFont="1" applyFill="1" applyBorder="1" applyAlignment="1">
      <alignment horizontal="center" vertical="center"/>
    </xf>
    <xf numFmtId="0" fontId="27" fillId="14" borderId="2" xfId="0" applyFont="1" applyFill="1" applyBorder="1" applyAlignment="1">
      <alignment horizontal="left" vertical="center"/>
    </xf>
    <xf numFmtId="0" fontId="32" fillId="14" borderId="2" xfId="0" applyFont="1" applyFill="1" applyBorder="1" applyAlignment="1">
      <alignment horizontal="center" vertical="center"/>
    </xf>
    <xf numFmtId="9" fontId="32" fillId="14" borderId="2" xfId="5" applyFont="1" applyFill="1" applyBorder="1" applyAlignment="1">
      <alignment horizontal="center" vertical="center"/>
    </xf>
    <xf numFmtId="10" fontId="5" fillId="7" borderId="27" xfId="0" applyNumberFormat="1" applyFont="1" applyFill="1" applyBorder="1" applyAlignment="1">
      <alignment horizontal="center" vertical="center" textRotation="90"/>
    </xf>
    <xf numFmtId="10" fontId="5" fillId="7" borderId="28" xfId="0" applyNumberFormat="1" applyFont="1" applyFill="1" applyBorder="1" applyAlignment="1">
      <alignment horizontal="center" vertical="center" textRotation="90"/>
    </xf>
    <xf numFmtId="10" fontId="5" fillId="7" borderId="29" xfId="0" applyNumberFormat="1" applyFont="1" applyFill="1" applyBorder="1" applyAlignment="1">
      <alignment horizontal="center" vertical="center" textRotation="90"/>
    </xf>
    <xf numFmtId="167" fontId="5" fillId="5" borderId="27" xfId="0" applyNumberFormat="1" applyFont="1" applyFill="1" applyBorder="1" applyAlignment="1">
      <alignment horizontal="center" vertical="center" textRotation="90"/>
    </xf>
    <xf numFmtId="167" fontId="5" fillId="5" borderId="28" xfId="0" applyNumberFormat="1" applyFont="1" applyFill="1" applyBorder="1" applyAlignment="1">
      <alignment horizontal="center" vertical="center" textRotation="90"/>
    </xf>
    <xf numFmtId="167" fontId="5" fillId="5" borderId="29" xfId="0" applyNumberFormat="1" applyFont="1" applyFill="1" applyBorder="1" applyAlignment="1">
      <alignment horizontal="center" vertical="center" textRotation="90"/>
    </xf>
    <xf numFmtId="164" fontId="5" fillId="7" borderId="27" xfId="0" applyNumberFormat="1" applyFont="1" applyFill="1" applyBorder="1" applyAlignment="1">
      <alignment horizontal="center" vertical="center" textRotation="90"/>
    </xf>
    <xf numFmtId="164" fontId="5" fillId="7" borderId="28" xfId="0" applyNumberFormat="1" applyFont="1" applyFill="1" applyBorder="1" applyAlignment="1">
      <alignment horizontal="center" vertical="center" textRotation="90"/>
    </xf>
    <xf numFmtId="164" fontId="5" fillId="7" borderId="29" xfId="0" applyNumberFormat="1" applyFont="1" applyFill="1" applyBorder="1" applyAlignment="1">
      <alignment horizontal="center" vertical="center" textRotation="90"/>
    </xf>
    <xf numFmtId="0" fontId="5" fillId="5" borderId="27" xfId="0" applyFont="1" applyFill="1" applyBorder="1" applyAlignment="1">
      <alignment horizontal="center" vertical="center" textRotation="90"/>
    </xf>
    <xf numFmtId="0" fontId="5" fillId="5" borderId="28" xfId="0" applyFont="1" applyFill="1" applyBorder="1" applyAlignment="1">
      <alignment horizontal="center" vertical="center" textRotation="90"/>
    </xf>
    <xf numFmtId="0" fontId="5" fillId="5" borderId="29" xfId="0" applyFont="1" applyFill="1" applyBorder="1" applyAlignment="1">
      <alignment horizontal="center" vertical="center" textRotation="90"/>
    </xf>
    <xf numFmtId="0" fontId="5" fillId="7" borderId="27" xfId="0" applyFont="1" applyFill="1" applyBorder="1" applyAlignment="1">
      <alignment horizontal="center" vertical="center" textRotation="90"/>
    </xf>
    <xf numFmtId="0" fontId="5" fillId="7" borderId="28" xfId="0" applyFont="1" applyFill="1" applyBorder="1" applyAlignment="1">
      <alignment horizontal="center" vertical="center" textRotation="90"/>
    </xf>
    <xf numFmtId="0" fontId="5" fillId="7" borderId="29" xfId="0" applyFont="1" applyFill="1" applyBorder="1" applyAlignment="1">
      <alignment horizontal="center" vertical="center" textRotation="90"/>
    </xf>
    <xf numFmtId="1" fontId="4" fillId="0" borderId="30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31" xfId="0" applyNumberFormat="1" applyFont="1" applyFill="1" applyBorder="1" applyAlignment="1">
      <alignment horizontal="center" vertical="center"/>
    </xf>
  </cellXfs>
  <cellStyles count="6">
    <cellStyle name="Bad" xfId="3" builtinId="27"/>
    <cellStyle name="Comma" xfId="4" builtinId="3"/>
    <cellStyle name="Good" xfId="1" builtinId="26"/>
    <cellStyle name="Hyperlink" xfId="2" builtinId="8"/>
    <cellStyle name="Normal" xfId="0" builtinId="0"/>
    <cellStyle name="Percent" xfId="5" builtinId="5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920000"/>
      <color rgb="FFD3E7C7"/>
      <color rgb="FFFFCCCC"/>
      <color rgb="FFFF7C80"/>
      <color rgb="FFFFFFCC"/>
      <color rgb="FFFF9999"/>
      <color rgb="FFE4BAFE"/>
      <color rgb="FFFFB3B5"/>
      <color rgb="FFFFFBEF"/>
      <color rgb="FFD69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12fa85d1527a9d0/Trading/2%20Axiom%20Work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Trade Process"/>
      <sheetName val="Compound Calculator"/>
      <sheetName val="Computer Setups"/>
      <sheetName val="Visual Playbook"/>
      <sheetName val="Fundamentals"/>
      <sheetName val="Account Performance"/>
      <sheetName val="Currency Performance"/>
      <sheetName val="Todays Performance"/>
      <sheetName val="Open Performance"/>
      <sheetName val="Closed Performance"/>
      <sheetName val="Analytics - Time"/>
      <sheetName val="Analytics - Counts"/>
      <sheetName val="Analytics Log - Live"/>
      <sheetName val="Trade Axiom"/>
      <sheetName val="Trade Axiom - Alpha"/>
      <sheetName val="Trade Axiom - Order Entry"/>
      <sheetName val="Trade Axiom - Calculation"/>
      <sheetName val="Trade Axiom - Pricing"/>
      <sheetName val="Trade Axiom - Market"/>
      <sheetName val="Trade Axiom - OE AX PR CA"/>
      <sheetName val="Daily Play"/>
      <sheetName val="Algo M5"/>
      <sheetName val="Algo D1"/>
      <sheetName val="Tax Calculator"/>
      <sheetName val="Currency Basket"/>
      <sheetName val="Backtesting"/>
      <sheetName val="Indicators"/>
      <sheetName val="Settings"/>
      <sheetName val="Data - Fundamental"/>
      <sheetName val="Data - Data Feed"/>
      <sheetName val="Data - DDE"/>
      <sheetName val="Data - Pair Specs"/>
      <sheetName val="Data - Pricing"/>
      <sheetName val="Data - Pip Values"/>
      <sheetName val="Account Export - Real History"/>
      <sheetName val="Account Export - Real Live"/>
      <sheetName val="Account Export - Demo Live"/>
      <sheetName val="Account Export - Demo Live AX2"/>
      <sheetName val="Account Export - Demo History"/>
      <sheetName val="Floating Tools"/>
      <sheetName val="EA Logic Flow"/>
      <sheetName val="Data List"/>
      <sheetName val="Trade Creator - Pricing"/>
      <sheetName val="Trade Creator - Calculation"/>
      <sheetName val="Trade Creator"/>
      <sheetName val="Risk Mod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Q2" t="str">
            <v>Suite</v>
          </cell>
        </row>
        <row r="3">
          <cell r="Q3" t="str">
            <v>Analytics</v>
          </cell>
        </row>
        <row r="4">
          <cell r="Q4" t="str">
            <v>MDB</v>
          </cell>
        </row>
        <row r="5">
          <cell r="Q5" t="str">
            <v>Indicators</v>
          </cell>
        </row>
        <row r="6">
          <cell r="Q6" t="str">
            <v>Tools</v>
          </cell>
        </row>
        <row r="7">
          <cell r="Q7" t="str">
            <v>Data</v>
          </cell>
        </row>
        <row r="8">
          <cell r="Q8" t="str">
            <v>Maintenance</v>
          </cell>
        </row>
        <row r="9">
          <cell r="Q9" t="str">
            <v>WIP</v>
          </cell>
        </row>
        <row r="10">
          <cell r="Q10" t="str">
            <v>_____MasterList</v>
          </cell>
        </row>
      </sheetData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AUDCAD" advise="1">
        <values>
          <value>
            <val>43983.631249999999</val>
          </value>
        </values>
      </ddeItem>
      <ddeItem name="AUDCHF" advise="1">
        <values>
          <value>
            <val>43983.631249999999</val>
          </value>
        </values>
      </ddeItem>
      <ddeItem name="AUDJPY" advise="1">
        <values>
          <value>
            <val>43983.631249999999</val>
          </value>
        </values>
      </ddeItem>
      <ddeItem name="AUDNZD" advise="1">
        <values>
          <value>
            <val>43983.631249999999</val>
          </value>
        </values>
      </ddeItem>
      <ddeItem name="AUDUSD" advise="1">
        <values>
          <value>
            <val>43983.631249999999</val>
          </value>
        </values>
      </ddeItem>
      <ddeItem name="CADCHF" advise="1">
        <values>
          <value>
            <val>43983.631249999999</val>
          </value>
        </values>
      </ddeItem>
      <ddeItem name="CADJPY" advise="1">
        <values>
          <value>
            <val>43983.631249999999</val>
          </value>
        </values>
      </ddeItem>
      <ddeItem name="CHFJPY" advise="1">
        <values>
          <value>
            <val>43983.631249999999</val>
          </value>
        </values>
      </ddeItem>
      <ddeItem name="EURAUD" advise="1">
        <values>
          <value>
            <val>43983.631249999999</val>
          </value>
        </values>
      </ddeItem>
      <ddeItem name="EURCAD" advise="1">
        <values>
          <value>
            <val>43983.631249999999</val>
          </value>
        </values>
      </ddeItem>
      <ddeItem name="EURCHF" advise="1">
        <values>
          <value>
            <val>43983.631249999999</val>
          </value>
        </values>
      </ddeItem>
      <ddeItem name="EURGBP" advise="1">
        <values>
          <value>
            <val>43983.631249999999</val>
          </value>
        </values>
      </ddeItem>
      <ddeItem name="EURJPY" advise="1">
        <values>
          <value>
            <val>43983.631249999999</val>
          </value>
        </values>
      </ddeItem>
      <ddeItem name="EURNZD" advise="1">
        <values>
          <value>
            <val>43983.631249999999</val>
          </value>
        </values>
      </ddeItem>
      <ddeItem name="EURUSD" advise="1">
        <values>
          <value>
            <val>43983.631249999999</val>
          </value>
        </values>
      </ddeItem>
      <ddeItem name="GBPAUD" advise="1">
        <values>
          <value>
            <val>43983.631249999999</val>
          </value>
        </values>
      </ddeItem>
      <ddeItem name="GBPCAD" advise="1">
        <values>
          <value>
            <val>43983.631249999999</val>
          </value>
        </values>
      </ddeItem>
      <ddeItem name="GBPCHF" advise="1">
        <values>
          <value>
            <val>43983.631249999999</val>
          </value>
        </values>
      </ddeItem>
      <ddeItem name="GBPJPY" advise="1">
        <values>
          <value>
            <val>43983.631249999999</val>
          </value>
        </values>
      </ddeItem>
      <ddeItem name="GBPNZD" advise="1">
        <values>
          <value>
            <val>43983.631249999999</val>
          </value>
        </values>
      </ddeItem>
      <ddeItem name="GBPUSD" advise="1">
        <values>
          <value>
            <val>43983.631249999999</val>
          </value>
        </values>
      </ddeItem>
      <ddeItem name="NZDCAD" advise="1">
        <values>
          <value>
            <val>43983.631249999999</val>
          </value>
        </values>
      </ddeItem>
      <ddeItem name="NZDCHF" advise="1">
        <values>
          <value>
            <val>43983.631249999999</val>
          </value>
        </values>
      </ddeItem>
      <ddeItem name="NZDJPY" advise="1">
        <values>
          <value>
            <val>43983.631249999999</val>
          </value>
        </values>
      </ddeItem>
      <ddeItem name="NZDUSD" advise="1">
        <values>
          <value>
            <val>43983.631249999999</val>
          </value>
        </values>
      </ddeItem>
      <ddeItem name="StdDocumentName" ole="1" advise="1"/>
      <ddeItem name="USDCAD" advise="1">
        <values>
          <value>
            <val>43983.631249999999</val>
          </value>
        </values>
      </ddeItem>
      <ddeItem name="USDCHF" advise="1">
        <values>
          <value>
            <val>43983.631249999999</val>
          </value>
        </values>
      </ddeItem>
      <ddeItem name="USDJPY" advise="1">
        <values>
          <value>
            <val>43983.631249999999</val>
          </value>
        </values>
      </ddeItem>
      <ddeItem name="USDSGD" advise="1">
        <values>
          <value>
            <val>43983.631249999999</val>
          </value>
        </values>
      </ddeItem>
      <ddeItem name="XAUUSD" advise="1">
        <values>
          <value>
            <val>43983.631249999999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0.92381999999999997</val>
          </value>
        </values>
      </ddeItem>
      <ddeItem name="AUDCHF" advise="1">
        <values>
          <value>
            <val>0.64800000000000002</val>
          </value>
        </values>
      </ddeItem>
      <ddeItem name="AUDJPY" advise="1">
        <values>
          <value>
            <val>72.616</val>
          </value>
        </values>
      </ddeItem>
      <ddeItem name="AUDNZD" advise="1">
        <values>
          <value>
            <val>1.08084</val>
          </value>
        </values>
      </ddeItem>
      <ddeItem name="AUDUSD" advise="1">
        <values>
          <value>
            <val>0.67406999999999995</val>
          </value>
        </values>
      </ddeItem>
      <ddeItem name="CADCHF" advise="1">
        <values>
          <value>
            <val>0.70142000000000004</val>
          </value>
        </values>
      </ddeItem>
      <ddeItem name="CADJPY" advise="1">
        <values>
          <value>
            <val>78.603999999999999</val>
          </value>
        </values>
      </ddeItem>
      <ddeItem name="CHFJPY" advise="1">
        <values>
          <value>
            <val>112.059</val>
          </value>
        </values>
      </ddeItem>
      <ddeItem name="EURAUD" advise="1">
        <values>
          <value>
            <val>1.649</val>
          </value>
        </values>
      </ddeItem>
      <ddeItem name="EURCAD" advise="1">
        <values>
          <value>
            <val>1.5234099999999999</val>
          </value>
        </values>
      </ddeItem>
      <ddeItem name="EURCHF" advise="1">
        <values>
          <value>
            <val>1.06857</val>
          </value>
        </values>
      </ddeItem>
      <ddeItem name="EURGBP" advise="1">
        <values>
          <value>
            <val>0.89686999999999995</val>
          </value>
        </values>
      </ddeItem>
      <ddeItem name="EURJPY" advise="1">
        <values>
          <value>
            <val>119.748</val>
          </value>
        </values>
      </ddeItem>
      <ddeItem name="EURNZD" advise="1">
        <values>
          <value>
            <val>1.78226</val>
          </value>
        </values>
      </ddeItem>
      <ddeItem name="EURUSD" advise="1">
        <values>
          <value>
            <val>1.11158</val>
          </value>
        </values>
      </ddeItem>
      <ddeItem name="GBPAUD" advise="1">
        <values>
          <value>
            <val>1.8386100000000001</val>
          </value>
        </values>
      </ddeItem>
      <ddeItem name="GBPCAD" advise="1">
        <values>
          <value>
            <val>1.6986000000000001</val>
          </value>
        </values>
      </ddeItem>
      <ddeItem name="GBPCHF" advise="1">
        <values>
          <value>
            <val>1.1914400000000001</val>
          </value>
        </values>
      </ddeItem>
      <ddeItem name="GBPJPY" advise="1">
        <values>
          <value>
            <val>133.51400000000001</val>
          </value>
        </values>
      </ddeItem>
      <ddeItem name="GBPNZD" advise="1">
        <values>
          <value>
            <val>1.9872300000000001</val>
          </value>
        </values>
      </ddeItem>
      <ddeItem name="GBPUSD" advise="1">
        <values>
          <value>
            <val>1.2394099999999999</val>
          </value>
        </values>
      </ddeItem>
      <ddeItem name="NZDCAD" advise="1">
        <values>
          <value>
            <val>0.85472000000000004</val>
          </value>
        </values>
      </ddeItem>
      <ddeItem name="NZDCHF" advise="1">
        <values>
          <value>
            <val>0.59953000000000001</val>
          </value>
        </values>
      </ddeItem>
      <ddeItem name="NZDJPY" advise="1">
        <values>
          <value>
            <val>67.185000000000002</val>
          </value>
        </values>
      </ddeItem>
      <ddeItem name="NZDUSD" advise="1">
        <values>
          <value>
            <val>0.62365000000000004</val>
          </value>
        </values>
      </ddeItem>
      <ddeItem name="StdDocumentName" ole="1" advise="1"/>
      <ddeItem name="USDCAD" advise="1">
        <values>
          <value>
            <val>1.37049</val>
          </value>
        </values>
      </ddeItem>
      <ddeItem name="USDCHF" advise="1">
        <values>
          <value>
            <val>0.96131999999999995</val>
          </value>
        </values>
      </ddeItem>
      <ddeItem name="USDJPY" advise="1">
        <values>
          <value>
            <val>107.729</val>
          </value>
        </values>
      </ddeItem>
      <ddeItem name="USDSGD" advise="1">
        <values>
          <value>
            <val>1.40961</val>
          </value>
        </values>
      </ddeItem>
      <ddeItem name="XAUUSD" advise="1">
        <values>
          <value>
            <val>1732.84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0.92386000000000001</val>
          </value>
        </values>
      </ddeItem>
      <ddeItem name="AUDCHF" advise="1">
        <values>
          <value>
            <val>0.64802999999999999</val>
          </value>
        </values>
      </ddeItem>
      <ddeItem name="AUDJPY" advise="1">
        <values>
          <value>
            <val>72.619</val>
          </value>
        </values>
      </ddeItem>
      <ddeItem name="AUDNZD" advise="1">
        <values>
          <value>
            <val>1.0809</val>
          </value>
        </values>
      </ddeItem>
      <ddeItem name="AUDUSD" advise="1">
        <values>
          <value>
            <val>0.67410000000000003</val>
          </value>
        </values>
      </ddeItem>
      <ddeItem name="CADCHF" advise="1">
        <values>
          <value>
            <val>0.70145000000000002</val>
          </value>
        </values>
      </ddeItem>
      <ddeItem name="CADJPY" advise="1">
        <values>
          <value>
            <val>78.605999999999995</val>
          </value>
        </values>
      </ddeItem>
      <ddeItem name="CHFJPY" advise="1">
        <values>
          <value>
            <val>112.063</val>
          </value>
        </values>
      </ddeItem>
      <ddeItem name="EURAUD" advise="1">
        <values>
          <value>
            <val>1.6490199999999999</val>
          </value>
        </values>
      </ddeItem>
      <ddeItem name="EURCAD" advise="1">
        <values>
          <value>
            <val>1.52345</val>
          </value>
        </values>
      </ddeItem>
      <ddeItem name="EURCHF" advise="1">
        <values>
          <value>
            <val>1.0686</val>
          </value>
        </values>
      </ddeItem>
      <ddeItem name="EURGBP" advise="1">
        <values>
          <value>
            <val>0.89688999999999997</val>
          </value>
        </values>
      </ddeItem>
      <ddeItem name="EURJPY" advise="1">
        <values>
          <value>
            <val>119.749</val>
          </value>
        </values>
      </ddeItem>
      <ddeItem name="EURNZD" advise="1">
        <values>
          <value>
            <val>1.78237</val>
          </value>
        </values>
      </ddeItem>
      <ddeItem name="EURUSD" advise="1">
        <values>
          <value>
            <val>1.11158</val>
          </value>
        </values>
      </ddeItem>
      <ddeItem name="GBPAUD" advise="1">
        <values>
          <value>
            <val>1.83866</val>
          </value>
        </values>
      </ddeItem>
      <ddeItem name="GBPCAD" advise="1">
        <values>
          <value>
            <val>1.6986399999999999</val>
          </value>
        </values>
      </ddeItem>
      <ddeItem name="GBPCHF" advise="1">
        <values>
          <value>
            <val>1.1915</val>
          </value>
        </values>
      </ddeItem>
      <ddeItem name="GBPJPY" advise="1">
        <values>
          <value>
            <val>133.51599999999999</val>
          </value>
        </values>
      </ddeItem>
      <ddeItem name="GBPNZD" advise="1">
        <values>
          <value>
            <val>1.98733</val>
          </value>
        </values>
      </ddeItem>
      <ddeItem name="GBPUSD" advise="1">
        <values>
          <value>
            <val>1.2394099999999999</val>
          </value>
        </values>
      </ddeItem>
      <ddeItem name="NZDCAD" advise="1">
        <values>
          <value>
            <val>0.85479000000000005</val>
          </value>
        </values>
      </ddeItem>
      <ddeItem name="NZDCHF" advise="1">
        <values>
          <value>
            <val>0.59957000000000005</val>
          </value>
        </values>
      </ddeItem>
      <ddeItem name="NZDJPY" advise="1">
        <values>
          <value>
            <val>67.188999999999993</val>
          </value>
        </values>
      </ddeItem>
      <ddeItem name="NZDUSD" advise="1">
        <values>
          <value>
            <val>0.62368000000000001</val>
          </value>
        </values>
      </ddeItem>
      <ddeItem name="StdDocumentName" ole="1" advise="1"/>
      <ddeItem name="USDCAD" advise="1">
        <values>
          <value>
            <val>1.3705400000000001</val>
          </value>
        </values>
      </ddeItem>
      <ddeItem name="USDCHF" advise="1">
        <values>
          <value>
            <val>0.96133999999999997</val>
          </value>
        </values>
      </ddeItem>
      <ddeItem name="USDJPY" advise="1">
        <values>
          <value>
            <val>107.729</val>
          </value>
        </values>
      </ddeItem>
      <ddeItem name="USDSGD" advise="1">
        <values>
          <value>
            <val>1.40968</val>
          </value>
        </values>
      </ddeItem>
      <ddeItem name="XAUUSD" advise="1">
        <values>
          <value>
            <val>1733.01</val>
          </value>
        </values>
      </ddeItem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0.91624000000000005</val>
          </value>
        </values>
      </ddeItem>
      <ddeItem name="AUDCHF" advise="1">
        <values>
          <value>
            <val>0.63902000000000003</val>
          </value>
        </values>
      </ddeItem>
      <ddeItem name="AUDJPY" advise="1">
        <values>
          <value>
            <val>71.603999999999999</val>
          </value>
        </values>
      </ddeItem>
      <ddeItem name="AUDNZD" advise="1">
        <values>
          <value>
            <val>1.0737399999999999</val>
          </value>
        </values>
      </ddeItem>
      <ddeItem name="AUDUSD" advise="1">
        <values>
          <value>
            <val>0.66478999999999999</val>
          </value>
        </values>
      </ddeItem>
      <ddeItem name="CADCHF" advise="1">
        <values>
          <value>
            <val>0.69642999999999999</val>
          </value>
        </values>
      </ddeItem>
      <ddeItem name="CADJPY" advise="1">
        <values>
          <value>
            <val>78.040000000000006</val>
          </value>
        </values>
      </ddeItem>
      <ddeItem name="CHFJPY" advise="1">
        <values>
          <value>
            <val>111.761</val>
          </value>
        </values>
      </ddeItem>
      <ddeItem name="EURAUD" advise="1">
        <values>
          <value>
            <val>1.6463099999999999</val>
          </value>
        </values>
      </ddeItem>
      <ddeItem name="EURCAD" advise="1">
        <values>
          <value>
            <val>1.5228200000000001</val>
          </value>
        </values>
      </ddeItem>
      <ddeItem name="EURCHF" advise="1">
        <values>
          <value>
            <val>1.0668800000000001</val>
          </value>
        </values>
      </ddeItem>
      <ddeItem name="EURGBP" advise="1">
        <values>
          <value>
            <val>0.89629000000000003</val>
          </value>
        </values>
      </ddeItem>
      <ddeItem name="EURJPY" advise="1">
        <values>
          <value>
            <val>119.425</val>
          </value>
        </values>
      </ddeItem>
      <ddeItem name="EURNZD" advise="1">
        <values>
          <value>
            <val>1.7796000000000001</val>
          </value>
        </values>
      </ddeItem>
      <ddeItem name="EURUSD" advise="1">
        <values>
          <value>
            <val>1.11005</val>
          </value>
        </values>
      </ddeItem>
      <ddeItem name="GBPAUD" advise="1">
        <values>
          <value>
            <val>1.83433</val>
          </value>
        </values>
      </ddeItem>
      <ddeItem name="GBPCAD" advise="1">
        <values>
          <value>
            <val>1.6971799999999999</val>
          </value>
        </values>
      </ddeItem>
      <ddeItem name="GBPCHF" advise="1">
        <values>
          <value>
            <val>1.1838599999999999</val>
          </value>
        </values>
      </ddeItem>
      <ddeItem name="GBPJPY" advise="1">
        <values>
          <value>
            <val>132.703</val>
          </value>
        </values>
      </ddeItem>
      <ddeItem name="GBPNZD" advise="1">
        <values>
          <value>
            <val>1.98247</val>
          </value>
        </values>
      </ddeItem>
      <ddeItem name="GBPUSD" advise="1">
        <values>
          <value>
            <val>1.2323599999999999</val>
          </value>
        </values>
      </ddeItem>
      <ddeItem name="NZDCAD" advise="1">
        <values>
          <value>
            <val>0.85202</val>
          </value>
        </values>
      </ddeItem>
      <ddeItem name="NZDCHF" advise="1">
        <values>
          <value>
            <val>0.59450000000000003</val>
          </value>
        </values>
      </ddeItem>
      <ddeItem name="NZDJPY" advise="1">
        <values>
          <value>
            <val>66.605999999999995</val>
          </value>
        </values>
      </ddeItem>
      <ddeItem name="NZDUSD" advise="1">
        <values>
          <value>
            <val>0.61846999999999996</val>
          </value>
        </values>
      </ddeItem>
      <ddeItem name="StdDocumentName" ole="1" advise="1"/>
      <ddeItem name="USDCAD" advise="1">
        <values>
          <value>
            <val>1.3673200000000001</val>
          </value>
        </values>
      </ddeItem>
      <ddeItem name="USDCHF" advise="1">
        <values>
          <value>
            <val>0.95787999999999995</val>
          </value>
        </values>
      </ddeItem>
      <ddeItem name="USDJPY" advise="1">
        <values>
          <value>
            <val>107.38</val>
          </value>
        </values>
      </ddeItem>
      <ddeItem name="USDSGD" advise="1">
        <values>
          <value>
            <val>1.40469</val>
          </value>
        </values>
      </ddeItem>
      <ddeItem name="XAUUSD" advise="1">
        <values>
          <value>
            <val>1728.35</val>
          </value>
        </values>
      </ddeItem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0.92623</val>
          </value>
        </values>
      </ddeItem>
      <ddeItem name="AUDCHF" advise="1">
        <values>
          <value>
            <val>0.64981999999999995</val>
          </value>
        </values>
      </ddeItem>
      <ddeItem name="AUDJPY" advise="1">
        <values>
          <value>
            <val>72.825000000000003</val>
          </value>
        </values>
      </ddeItem>
      <ddeItem name="AUDNZD" advise="1">
        <values>
          <value>
            <val>1.0816699999999999</val>
          </value>
        </values>
      </ddeItem>
      <ddeItem name="AUDUSD" advise="1">
        <values>
          <value>
            <val>0.67723999999999995</val>
          </value>
        </values>
      </ddeItem>
      <ddeItem name="CADCHF" advise="1">
        <values>
          <value>
            <val>0.70189999999999997</val>
          </value>
        </values>
      </ddeItem>
      <ddeItem name="CADJPY" advise="1">
        <values>
          <value>
            <val>78.647000000000006</val>
          </value>
        </values>
      </ddeItem>
      <ddeItem name="CHFJPY" advise="1">
        <values>
          <value>
            <val>112.307</val>
          </value>
        </values>
      </ddeItem>
      <ddeItem name="EURAUD" advise="1">
        <values>
          <value>
            <val>1.6706799999999999</val>
          </value>
        </values>
      </ddeItem>
      <ddeItem name="EURCAD" advise="1">
        <values>
          <value>
            <val>1.5325299999999999</val>
          </value>
        </values>
      </ddeItem>
      <ddeItem name="EURCHF" advise="1">
        <values>
          <value>
            <val>1.0706599999999999</val>
          </value>
        </values>
      </ddeItem>
      <ddeItem name="EURGBP" advise="1">
        <values>
          <value>
            <val>0.90161999999999998</val>
          </value>
        </values>
      </ddeItem>
      <ddeItem name="EURJPY" advise="1">
        <values>
          <value>
            <val>119.976</val>
          </value>
        </values>
      </ddeItem>
      <ddeItem name="EURNZD" advise="1">
        <values>
          <value>
            <val>1.7956000000000001</val>
          </value>
        </values>
      </ddeItem>
      <ddeItem name="EURUSD" advise="1">
        <values>
          <value>
            <val>1.11538</val>
          </value>
        </values>
      </ddeItem>
      <ddeItem name="GBPAUD" advise="1">
        <values>
          <value>
            <val>1.8552</val>
          </value>
        </values>
      </ddeItem>
      <ddeItem name="GBPCAD" advise="1">
        <values>
          <value>
            <val>1.70305</val>
          </value>
        </values>
      </ddeItem>
      <ddeItem name="GBPCHF" advise="1">
        <values>
          <value>
            <val>1.1924300000000001</val>
          </value>
        </values>
      </ddeItem>
      <ddeItem name="GBPJPY" advise="1">
        <values>
          <value>
            <val>133.66900000000001</val>
          </value>
        </values>
      </ddeItem>
      <ddeItem name="GBPNZD" advise="1">
        <values>
          <value>
            <val>1.9933099999999999</val>
          </value>
        </values>
      </ddeItem>
      <ddeItem name="GBPUSD" advise="1">
        <values>
          <value>
            <val>1.24258</val>
          </value>
        </values>
      </ddeItem>
      <ddeItem name="NZDCAD" advise="1">
        <values>
          <value>
            <val>0.85721000000000003</val>
          </value>
        </values>
      </ddeItem>
      <ddeItem name="NZDCHF" advise="1">
        <values>
          <value>
            <val>0.60089000000000004</val>
          </value>
        </values>
      </ddeItem>
      <ddeItem name="NZDJPY" advise="1">
        <values>
          <value>
            <val>67.334999999999994</val>
          </value>
        </values>
      </ddeItem>
      <ddeItem name="NZDUSD" advise="1">
        <values>
          <value>
            <val>0.62617999999999996</val>
          </value>
        </values>
      </ddeItem>
      <ddeItem name="StdDocumentName" ole="1" advise="1"/>
      <ddeItem name="USDCAD" advise="1">
        <values>
          <value>
            <val>1.3800399999999999</val>
          </value>
        </values>
      </ddeItem>
      <ddeItem name="USDCHF" advise="1">
        <values>
          <value>
            <val>0.96203000000000005</val>
          </value>
        </values>
      </ddeItem>
      <ddeItem name="USDJPY" advise="1">
        <values>
          <value>
            <val>107.858</val>
          </value>
        </values>
      </ddeItem>
      <ddeItem name="USDSGD" advise="1">
        <values>
          <value>
            <val>1.4139900000000001</val>
          </value>
        </values>
      </ddeItem>
      <ddeItem name="XAUUSD" advise="1">
        <values>
          <value>
            <val>1744.6</val>
          </value>
        </values>
      </ddeItem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QUOTE">
    <ddeItems>
      <ddeItem name="AUDCAD" advise="1">
        <values>
          <value t="str">
            <val>2020/06/01 15:09:35 0.92382 0.92386</val>
          </value>
        </values>
      </ddeItem>
      <ddeItem name="AUDCHF" advise="1">
        <values>
          <value t="str">
            <val>2020/06/01 15:09:35 0.64800 0.64803</val>
          </value>
        </values>
      </ddeItem>
      <ddeItem name="AUDJPY" advise="1">
        <values>
          <value t="str">
            <val>2020/06/01 15:09:35 72.616 72.619</val>
          </value>
        </values>
      </ddeItem>
      <ddeItem name="AUDNZD" advise="1">
        <values>
          <value t="str">
            <val>2020/06/01 15:09:31 1.08084 1.08090</val>
          </value>
        </values>
      </ddeItem>
      <ddeItem name="AUDUSD" advise="1">
        <values>
          <value t="str">
            <val>2020/06/01 15:09:34 0.67407 0.67410</val>
          </value>
        </values>
      </ddeItem>
      <ddeItem name="CADCHF" advise="1">
        <values>
          <value t="str">
            <val>2020/06/01 15:09:35 0.70142 0.70145</val>
          </value>
        </values>
      </ddeItem>
      <ddeItem name="CADJPY" advise="1">
        <values>
          <value t="str">
            <val>2020/06/01 15:09:31 78.604 78.606</val>
          </value>
        </values>
      </ddeItem>
      <ddeItem name="CHFJPY" advise="1">
        <values>
          <value t="str">
            <val>2020/06/01 15:09:35 112.059 112.063</val>
          </value>
        </values>
      </ddeItem>
      <ddeItem name="EURAUD" advise="1">
        <values>
          <value t="str">
            <val>2020/06/01 15:09:34 1.64900 1.64902</val>
          </value>
        </values>
      </ddeItem>
      <ddeItem name="EURCAD" advise="1">
        <values>
          <value t="str">
            <val>2020/06/01 15:09:32 1.52341 1.52345</val>
          </value>
        </values>
      </ddeItem>
      <ddeItem name="EURCHF" advise="1">
        <values>
          <value t="str">
            <val>2020/06/01 15:09:32 1.06857 1.06860</val>
          </value>
        </values>
      </ddeItem>
      <ddeItem name="EURGBP" advise="1">
        <values>
          <value t="str">
            <val>2020/06/01 15:09:34 0.89687 0.89689</val>
          </value>
        </values>
      </ddeItem>
      <ddeItem name="EURJPY" advise="1">
        <values>
          <value t="str">
            <val>2020/06/01 15:09:33 119.748 119.749</val>
          </value>
        </values>
      </ddeItem>
      <ddeItem name="EURNZD" advise="1">
        <values>
          <value t="str">
            <val>2020/06/01 15:09:34 1.78226 1.78237</val>
          </value>
        </values>
      </ddeItem>
      <ddeItem name="EURUSD" advise="1">
        <values>
          <value t="str">
            <val>2020/06/01 15:09:32 1.11158 1.11158</val>
          </value>
        </values>
      </ddeItem>
      <ddeItem name="GBPAUD" advise="1">
        <values>
          <value t="str">
            <val>2020/06/01 15:09:35 1.83861 1.83866</val>
          </value>
        </values>
      </ddeItem>
      <ddeItem name="GBPCAD" advise="1">
        <values>
          <value t="str">
            <val>2020/06/01 15:09:35 1.69860 1.69864</val>
          </value>
        </values>
      </ddeItem>
      <ddeItem name="GBPCHF" advise="1">
        <values>
          <value t="str">
            <val>2020/06/01 15:09:35 1.19144 1.19150</val>
          </value>
        </values>
      </ddeItem>
      <ddeItem name="GBPJPY" advise="1">
        <values>
          <value t="str">
            <val>2020/06/01 15:09:34 133.514 133.516</val>
          </value>
        </values>
      </ddeItem>
      <ddeItem name="GBPNZD" advise="1">
        <values>
          <value t="str">
            <val>2020/06/01 15:09:34 1.98723 1.98733</val>
          </value>
        </values>
      </ddeItem>
      <ddeItem name="GBPUSD" advise="1">
        <values>
          <value t="str">
            <val>2020/06/01 15:09:34 1.23941 1.23941</val>
          </value>
        </values>
      </ddeItem>
      <ddeItem name="NZDCAD" advise="1">
        <values>
          <value t="str">
            <val>2020/06/01 15:09:30 0.85472 0.85479</val>
          </value>
        </values>
      </ddeItem>
      <ddeItem name="NZDCHF" advise="1">
        <values>
          <value t="str">
            <val>2020/06/01 15:09:32 0.59953 0.59957</val>
          </value>
        </values>
      </ddeItem>
      <ddeItem name="NZDJPY" advise="1">
        <values>
          <value t="str">
            <val>2020/06/01 15:09:32 67.185 67.189</val>
          </value>
        </values>
      </ddeItem>
      <ddeItem name="NZDUSD" advise="1">
        <values>
          <value t="str">
            <val>2020/06/01 15:09:30 0.62365 0.62368</val>
          </value>
        </values>
      </ddeItem>
      <ddeItem name="StdDocumentName" ole="1" advise="1"/>
      <ddeItem name="USDCAD" advise="1">
        <values>
          <value t="str">
            <val>2020/06/01 15:09:35 1.37049 1.37054</val>
          </value>
        </values>
      </ddeItem>
      <ddeItem name="USDCHF" advise="1">
        <values>
          <value t="str">
            <val>2020/06/01 15:09:35 0.96132 0.96134</val>
          </value>
        </values>
      </ddeItem>
      <ddeItem name="USDJPY" advise="1">
        <values>
          <value t="str">
            <val>2020/06/01 15:09:31 107.729 107.729</val>
          </value>
        </values>
      </ddeItem>
      <ddeItem name="USDSGD" advise="1">
        <values>
          <value t="str">
            <val>2020/06/01 15:09:26 1.40961 1.40968</val>
          </value>
        </values>
      </ddeItem>
      <ddeItem name="XAUUSD" advise="1">
        <values>
          <value t="str">
            <val>2020/06/01 15:09:34 1732.84 1733.01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X57"/>
  <sheetViews>
    <sheetView zoomScaleNormal="100" workbookViewId="0">
      <selection activeCell="C36" sqref="C36"/>
    </sheetView>
  </sheetViews>
  <sheetFormatPr defaultColWidth="9.109375" defaultRowHeight="16.5" customHeight="1" x14ac:dyDescent="0.3"/>
  <cols>
    <col min="1" max="1" width="2.6640625" style="161" customWidth="1"/>
    <col min="2" max="2" width="3.109375" style="181" customWidth="1"/>
    <col min="3" max="3" width="4.21875" style="161" customWidth="1"/>
    <col min="4" max="4" width="10.44140625" style="161" customWidth="1"/>
    <col min="5" max="5" width="2.77734375" style="161" customWidth="1"/>
    <col min="6" max="6" width="8.77734375" style="178" bestFit="1" customWidth="1"/>
    <col min="7" max="7" width="4.88671875" style="181" customWidth="1"/>
    <col min="8" max="8" width="8.77734375" style="161" customWidth="1"/>
    <col min="9" max="9" width="8.77734375" style="188" customWidth="1"/>
    <col min="10" max="10" width="2.77734375" style="164" customWidth="1"/>
    <col min="11" max="11" width="10.21875" style="178" customWidth="1"/>
    <col min="12" max="12" width="5.21875" style="193" bestFit="1" customWidth="1"/>
    <col min="13" max="13" width="6.33203125" style="170" customWidth="1"/>
    <col min="14" max="14" width="9.77734375" style="170" customWidth="1"/>
    <col min="15" max="15" width="5.21875" style="164" bestFit="1" customWidth="1"/>
    <col min="16" max="16" width="9.77734375" style="186" customWidth="1"/>
    <col min="17" max="17" width="6.5546875" style="186" customWidth="1"/>
    <col min="18" max="18" width="5.21875" style="187" bestFit="1" customWidth="1"/>
    <col min="19" max="19" width="9.33203125" style="188" customWidth="1"/>
    <col min="20" max="20" width="2.77734375" style="181" customWidth="1"/>
    <col min="21" max="21" width="13.33203125" style="190" bestFit="1" customWidth="1"/>
    <col min="22" max="22" width="11.44140625" style="181" customWidth="1"/>
    <col min="23" max="23" width="3.109375" style="181" customWidth="1"/>
    <col min="24" max="16384" width="9.109375" style="161"/>
  </cols>
  <sheetData>
    <row r="1" spans="1:24" ht="16.5" customHeight="1" x14ac:dyDescent="0.3">
      <c r="A1" s="160"/>
      <c r="B1" s="273" t="s">
        <v>50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5"/>
    </row>
    <row r="2" spans="1:24" ht="16.5" customHeight="1" x14ac:dyDescent="0.3">
      <c r="B2" s="276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8"/>
    </row>
    <row r="3" spans="1:24" ht="16.5" customHeight="1" x14ac:dyDescent="0.3">
      <c r="B3" s="252" t="s">
        <v>37</v>
      </c>
      <c r="C3" s="252"/>
      <c r="D3" s="252"/>
      <c r="E3" s="253"/>
      <c r="F3" s="254" t="s">
        <v>38</v>
      </c>
      <c r="G3" s="252" t="s">
        <v>41</v>
      </c>
      <c r="H3" s="252"/>
      <c r="I3" s="254" t="s">
        <v>39</v>
      </c>
      <c r="J3" s="255"/>
      <c r="K3" s="254" t="s">
        <v>5</v>
      </c>
      <c r="L3" s="256" t="s">
        <v>48</v>
      </c>
      <c r="M3" s="256"/>
      <c r="N3" s="256"/>
      <c r="O3" s="257" t="s">
        <v>49</v>
      </c>
      <c r="P3" s="258" t="s">
        <v>48</v>
      </c>
      <c r="Q3" s="258"/>
      <c r="R3" s="258"/>
      <c r="S3" s="254" t="s">
        <v>4</v>
      </c>
      <c r="T3" s="253"/>
      <c r="U3" s="259" t="s">
        <v>89</v>
      </c>
      <c r="V3" s="254" t="s">
        <v>92</v>
      </c>
      <c r="W3" s="254"/>
    </row>
    <row r="4" spans="1:24" ht="16.5" customHeight="1" x14ac:dyDescent="0.3">
      <c r="A4" s="197"/>
      <c r="B4" s="285" t="s">
        <v>1</v>
      </c>
      <c r="C4" s="300">
        <v>1</v>
      </c>
      <c r="D4" s="201" t="s">
        <v>6</v>
      </c>
      <c r="E4" s="201"/>
      <c r="F4" s="202">
        <f>IFERROR(VLOOKUP(D4,'Data Feed'!$A$3:$F$30,3,FALSE),"")</f>
        <v>1.11158</v>
      </c>
      <c r="G4" s="203">
        <f>AVERAGE(H4:H10)</f>
        <v>0.18571428571455076</v>
      </c>
      <c r="H4" s="204">
        <f>IFERROR(VLOOKUP(D4,'Data Feed'!$A$3:$F$30,5,FALSE),"")</f>
        <v>0</v>
      </c>
      <c r="I4" s="205">
        <f>IFERROR(VLOOKUP(D4,'Data Feed'!$A$3:$F$30,4,FALSE),"")</f>
        <v>1.11158</v>
      </c>
      <c r="J4" s="206"/>
      <c r="K4" s="207">
        <f>IFERROR(VLOOKUP(D4,'Data Feed'!$A$3:$I$30,8,FALSE),"")</f>
        <v>1.11005</v>
      </c>
      <c r="L4" s="208">
        <f t="shared" ref="L4:L31" si="0">IFERROR(IF(ISNUMBER(SEARCH("JPY",D4)),((V4-K4)*100),((V4-K4)*10000)),"")</f>
        <v>15.300000000000313</v>
      </c>
      <c r="M4" s="209">
        <f t="shared" ref="M4:M31" si="1">1-L4/O4</f>
        <v>0.71294559099436872</v>
      </c>
      <c r="N4" s="210">
        <f>IFERROR(IF(M4&gt;50%,M4*-1,""),"")</f>
        <v>-0.71294559099436872</v>
      </c>
      <c r="O4" s="211">
        <f t="shared" ref="O4:O31" si="2">IFERROR(IF(ISNUMBER(SEARCH("JPY",D4)),((S4-K4)*100),((S4-K4)*10000)),"")</f>
        <v>53.300000000000566</v>
      </c>
      <c r="P4" s="212" t="str">
        <f>IFERROR(IF(Q4&gt;50%,Q4,""),"")</f>
        <v/>
      </c>
      <c r="Q4" s="213">
        <f t="shared" ref="Q4:Q31" si="3">1-R4/O4</f>
        <v>0.28705440900563128</v>
      </c>
      <c r="R4" s="214">
        <f t="shared" ref="R4:R31" si="4">IFERROR(IF(ISNUMBER(SEARCH("JPY",D4)),((S4-V4)*100),((S4-V4)*10000)),"")</f>
        <v>38.000000000000256</v>
      </c>
      <c r="S4" s="215">
        <f>IFERROR(VLOOKUP(D4,'Data Feed'!$A$3:$I$30,9,FALSE),"")</f>
        <v>1.11538</v>
      </c>
      <c r="T4" s="216"/>
      <c r="U4" s="217">
        <f>IFERROR(VLOOKUP(D4,'Data Feed'!A:I,2,FALSE),"")</f>
        <v>43983.631249999999</v>
      </c>
      <c r="V4" s="218">
        <f t="shared" ref="V4:V31" si="5">(F4+I4)/2</f>
        <v>1.11158</v>
      </c>
      <c r="W4" s="285" t="s">
        <v>1</v>
      </c>
      <c r="X4" s="198"/>
    </row>
    <row r="5" spans="1:24" ht="16.5" customHeight="1" x14ac:dyDescent="0.3">
      <c r="A5" s="197"/>
      <c r="B5" s="286"/>
      <c r="C5" s="301">
        <v>2</v>
      </c>
      <c r="D5" s="161" t="s">
        <v>27</v>
      </c>
      <c r="F5" s="162">
        <f>IFERROR(VLOOKUP(D5,'Data Feed'!$A$3:$F$30,3,FALSE),"")</f>
        <v>0.96131999999999995</v>
      </c>
      <c r="G5" s="163"/>
      <c r="H5" s="164">
        <f>IFERROR(VLOOKUP(D5,'Data Feed'!$A$3:$F$30,5,FALSE),"")</f>
        <v>0.20000000000020002</v>
      </c>
      <c r="I5" s="165">
        <f>IFERROR(VLOOKUP(D5,'Data Feed'!$A$3:$F$30,4,FALSE),"")</f>
        <v>0.96133999999999997</v>
      </c>
      <c r="J5" s="166"/>
      <c r="K5" s="167">
        <f>IFERROR(VLOOKUP(D5,'Data Feed'!$A$3:$I$30,8,FALSE),"")</f>
        <v>0.95787999999999995</v>
      </c>
      <c r="L5" s="168">
        <f t="shared" si="0"/>
        <v>34.500000000000639</v>
      </c>
      <c r="M5" s="169">
        <f t="shared" si="1"/>
        <v>0.16867469879518493</v>
      </c>
      <c r="N5" s="170" t="str">
        <f>IFERROR(IF(M5&gt;50%,M5*-1,""),"")</f>
        <v/>
      </c>
      <c r="O5" s="171">
        <f t="shared" si="2"/>
        <v>41.500000000000981</v>
      </c>
      <c r="P5" s="172">
        <f>IFERROR(IF(Q5&gt;50%,Q5,""),"")</f>
        <v>0.83132530120481507</v>
      </c>
      <c r="Q5" s="173">
        <f t="shared" si="3"/>
        <v>0.83132530120481507</v>
      </c>
      <c r="R5" s="174">
        <f t="shared" si="4"/>
        <v>7.0000000000003393</v>
      </c>
      <c r="S5" s="175">
        <f>IFERROR(VLOOKUP(D5,'Data Feed'!$A$3:$I$30,9,FALSE),"")</f>
        <v>0.96203000000000005</v>
      </c>
      <c r="T5" s="176"/>
      <c r="U5" s="177">
        <f>IFERROR(VLOOKUP(D5,'Data Feed'!A:I,2,FALSE),"")</f>
        <v>43983.631249999999</v>
      </c>
      <c r="V5" s="219">
        <f t="shared" si="5"/>
        <v>0.96133000000000002</v>
      </c>
      <c r="W5" s="286"/>
      <c r="X5" s="198"/>
    </row>
    <row r="6" spans="1:24" ht="16.5" customHeight="1" x14ac:dyDescent="0.3">
      <c r="A6" s="197"/>
      <c r="B6" s="286"/>
      <c r="C6" s="301">
        <v>3</v>
      </c>
      <c r="D6" s="178" t="s">
        <v>25</v>
      </c>
      <c r="E6" s="178"/>
      <c r="F6" s="162">
        <f>IFERROR(VLOOKUP(D6,'Data Feed'!$A$3:$F$30,3,FALSE),"")</f>
        <v>1.2394099999999999</v>
      </c>
      <c r="G6" s="163"/>
      <c r="H6" s="164">
        <f>IFERROR(VLOOKUP(D6,'Data Feed'!$A$3:$F$30,5,FALSE),"")</f>
        <v>0</v>
      </c>
      <c r="I6" s="165">
        <f>IFERROR(VLOOKUP(D6,'Data Feed'!$A$3:$F$30,4,FALSE),"")</f>
        <v>1.2394099999999999</v>
      </c>
      <c r="J6" s="166"/>
      <c r="K6" s="167">
        <f>IFERROR(VLOOKUP(D6,'Data Feed'!$A$3:$I$30,8,FALSE),"")</f>
        <v>1.2323599999999999</v>
      </c>
      <c r="L6" s="168">
        <f t="shared" si="0"/>
        <v>70.5</v>
      </c>
      <c r="M6" s="169">
        <f t="shared" si="1"/>
        <v>0.31017612524462634</v>
      </c>
      <c r="N6" s="170" t="str">
        <f t="shared" ref="N6:N31" si="6">IFERROR(IF(M6&gt;50%,M6*-1,""),"")</f>
        <v/>
      </c>
      <c r="O6" s="171">
        <f t="shared" si="2"/>
        <v>102.20000000000118</v>
      </c>
      <c r="P6" s="172">
        <f t="shared" ref="P6:P31" si="7">IFERROR(IF(Q6&gt;50%,Q6,""),"")</f>
        <v>0.68982387475537377</v>
      </c>
      <c r="Q6" s="173">
        <f t="shared" si="3"/>
        <v>0.68982387475537377</v>
      </c>
      <c r="R6" s="174">
        <f t="shared" si="4"/>
        <v>31.700000000001172</v>
      </c>
      <c r="S6" s="175">
        <f>IFERROR(VLOOKUP(D6,'Data Feed'!$A$3:$I$30,9,FALSE),"")</f>
        <v>1.24258</v>
      </c>
      <c r="T6" s="176"/>
      <c r="U6" s="177">
        <f>IFERROR(VLOOKUP(D6,'Data Feed'!A:I,2,FALSE),"")</f>
        <v>43983.631249999999</v>
      </c>
      <c r="V6" s="219">
        <f t="shared" si="5"/>
        <v>1.2394099999999999</v>
      </c>
      <c r="W6" s="286"/>
      <c r="X6" s="198"/>
    </row>
    <row r="7" spans="1:24" ht="16.5" customHeight="1" x14ac:dyDescent="0.3">
      <c r="A7" s="197"/>
      <c r="B7" s="286"/>
      <c r="C7" s="301">
        <v>4</v>
      </c>
      <c r="D7" s="161" t="s">
        <v>17</v>
      </c>
      <c r="F7" s="162">
        <f>IFERROR(VLOOKUP(D7,'Data Feed'!$A$3:$F$30,3,FALSE),"")</f>
        <v>107.729</v>
      </c>
      <c r="G7" s="163"/>
      <c r="H7" s="164">
        <f>IFERROR(VLOOKUP(D7,'Data Feed'!$A$3:$F$30,5,FALSE),"")</f>
        <v>0</v>
      </c>
      <c r="I7" s="179">
        <f>IFERROR(VLOOKUP(D7,'Data Feed'!$A$3:$F$30,4,FALSE),"")</f>
        <v>107.729</v>
      </c>
      <c r="J7" s="166"/>
      <c r="K7" s="167">
        <f>IFERROR(VLOOKUP(D7,'Data Feed'!$A$3:$I$30,8,FALSE),"")</f>
        <v>107.38</v>
      </c>
      <c r="L7" s="168">
        <f t="shared" si="0"/>
        <v>34.900000000000375</v>
      </c>
      <c r="M7" s="169">
        <f t="shared" si="1"/>
        <v>0.26987447698745304</v>
      </c>
      <c r="N7" s="170" t="str">
        <f t="shared" si="6"/>
        <v/>
      </c>
      <c r="O7" s="171">
        <f t="shared" si="2"/>
        <v>47.800000000000864</v>
      </c>
      <c r="P7" s="172">
        <f t="shared" si="7"/>
        <v>0.73012552301254696</v>
      </c>
      <c r="Q7" s="173">
        <f t="shared" si="3"/>
        <v>0.73012552301254696</v>
      </c>
      <c r="R7" s="174">
        <f t="shared" si="4"/>
        <v>12.900000000000489</v>
      </c>
      <c r="S7" s="175">
        <f>IFERROR(VLOOKUP(D7,'Data Feed'!$A$3:$I$30,9,FALSE),"")</f>
        <v>107.858</v>
      </c>
      <c r="T7" s="180"/>
      <c r="U7" s="177">
        <f>IFERROR(VLOOKUP(D7,'Data Feed'!A:I,2,FALSE),"")</f>
        <v>43983.631249999999</v>
      </c>
      <c r="V7" s="219">
        <f t="shared" si="5"/>
        <v>107.729</v>
      </c>
      <c r="W7" s="286"/>
      <c r="X7" s="198"/>
    </row>
    <row r="8" spans="1:24" ht="16.5" customHeight="1" x14ac:dyDescent="0.3">
      <c r="A8" s="197"/>
      <c r="B8" s="286"/>
      <c r="C8" s="301">
        <v>5</v>
      </c>
      <c r="D8" s="161" t="s">
        <v>26</v>
      </c>
      <c r="F8" s="162">
        <f>IFERROR(VLOOKUP(D8,'Data Feed'!$A$3:$F$30,3,FALSE),"")</f>
        <v>0.67406999999999995</v>
      </c>
      <c r="G8" s="163"/>
      <c r="H8" s="164">
        <f>IFERROR(VLOOKUP(D8,'Data Feed'!$A$3:$F$30,5,FALSE),"")</f>
        <v>0.30000000000085514</v>
      </c>
      <c r="I8" s="165">
        <f>IFERROR(VLOOKUP(D8,'Data Feed'!$A$3:$F$30,4,FALSE),"")</f>
        <v>0.67410000000000003</v>
      </c>
      <c r="J8" s="166"/>
      <c r="K8" s="167">
        <f>IFERROR(VLOOKUP(D8,'Data Feed'!$A$3:$I$30,8,FALSE),"")</f>
        <v>0.66478999999999999</v>
      </c>
      <c r="L8" s="168">
        <f t="shared" si="0"/>
        <v>92.950000000000529</v>
      </c>
      <c r="M8" s="169">
        <f t="shared" si="1"/>
        <v>0.25341365461846732</v>
      </c>
      <c r="N8" s="170" t="str">
        <f t="shared" si="6"/>
        <v/>
      </c>
      <c r="O8" s="171">
        <f t="shared" si="2"/>
        <v>124.49999999999962</v>
      </c>
      <c r="P8" s="172">
        <f t="shared" si="7"/>
        <v>0.74658634538153268</v>
      </c>
      <c r="Q8" s="173">
        <f t="shared" si="3"/>
        <v>0.74658634538153268</v>
      </c>
      <c r="R8" s="174">
        <f t="shared" si="4"/>
        <v>31.549999999999081</v>
      </c>
      <c r="S8" s="175">
        <f>IFERROR(VLOOKUP(D8,'Data Feed'!$A$3:$I$30,9,FALSE),"")</f>
        <v>0.67723999999999995</v>
      </c>
      <c r="T8" s="176"/>
      <c r="U8" s="177">
        <f>IFERROR(VLOOKUP(D8,'Data Feed'!A:I,2,FALSE),"")</f>
        <v>43983.631249999999</v>
      </c>
      <c r="V8" s="219">
        <f t="shared" si="5"/>
        <v>0.67408500000000005</v>
      </c>
      <c r="W8" s="286"/>
      <c r="X8" s="198"/>
    </row>
    <row r="9" spans="1:24" ht="16.5" customHeight="1" x14ac:dyDescent="0.3">
      <c r="A9" s="197"/>
      <c r="B9" s="286"/>
      <c r="C9" s="301">
        <v>6</v>
      </c>
      <c r="D9" s="161" t="s">
        <v>12</v>
      </c>
      <c r="F9" s="162">
        <f>IFERROR(VLOOKUP(D9,'Data Feed'!$A$3:$F$30,3,FALSE),"")</f>
        <v>1.37049</v>
      </c>
      <c r="G9" s="163"/>
      <c r="H9" s="164">
        <f>IFERROR(VLOOKUP(D9,'Data Feed'!$A$3:$F$30,5,FALSE),"")</f>
        <v>0.50000000000105516</v>
      </c>
      <c r="I9" s="165">
        <f>IFERROR(VLOOKUP(D9,'Data Feed'!$A$3:$F$30,4,FALSE),"")</f>
        <v>1.3705400000000001</v>
      </c>
      <c r="J9" s="166"/>
      <c r="K9" s="167">
        <f>IFERROR(VLOOKUP(D9,'Data Feed'!$A$3:$I$30,8,FALSE),"")</f>
        <v>1.3673200000000001</v>
      </c>
      <c r="L9" s="168">
        <f t="shared" si="0"/>
        <v>31.950000000000589</v>
      </c>
      <c r="M9" s="169">
        <f t="shared" si="1"/>
        <v>0.7488207547169734</v>
      </c>
      <c r="N9" s="170">
        <f t="shared" si="6"/>
        <v>-0.7488207547169734</v>
      </c>
      <c r="O9" s="171">
        <f t="shared" si="2"/>
        <v>127.19999999999843</v>
      </c>
      <c r="P9" s="172" t="str">
        <f t="shared" si="7"/>
        <v/>
      </c>
      <c r="Q9" s="173">
        <f t="shared" si="3"/>
        <v>0.2511792452830266</v>
      </c>
      <c r="R9" s="174">
        <f t="shared" si="4"/>
        <v>95.24999999999784</v>
      </c>
      <c r="S9" s="175">
        <f>IFERROR(VLOOKUP(D9,'Data Feed'!$A$3:$I$30,9,FALSE),"")</f>
        <v>1.3800399999999999</v>
      </c>
      <c r="T9" s="176"/>
      <c r="U9" s="177">
        <f>IFERROR(VLOOKUP(D9,'Data Feed'!A:I,2,FALSE),"")</f>
        <v>43983.631249999999</v>
      </c>
      <c r="V9" s="219">
        <f t="shared" si="5"/>
        <v>1.3705150000000001</v>
      </c>
      <c r="W9" s="286"/>
      <c r="X9" s="198"/>
    </row>
    <row r="10" spans="1:24" ht="16.5" customHeight="1" x14ac:dyDescent="0.3">
      <c r="A10" s="197"/>
      <c r="B10" s="287"/>
      <c r="C10" s="302">
        <v>7</v>
      </c>
      <c r="D10" s="220" t="s">
        <v>24</v>
      </c>
      <c r="E10" s="220"/>
      <c r="F10" s="221">
        <f>IFERROR(VLOOKUP(D10,'Data Feed'!$A$3:$F$30,3,FALSE),"")</f>
        <v>0.62365000000000004</v>
      </c>
      <c r="G10" s="222"/>
      <c r="H10" s="223">
        <f>IFERROR(VLOOKUP(D10,'Data Feed'!$A$3:$F$30,5,FALSE),"")</f>
        <v>0.29999999999974492</v>
      </c>
      <c r="I10" s="224">
        <f>IFERROR(VLOOKUP(D10,'Data Feed'!$A$3:$F$30,4,FALSE),"")</f>
        <v>0.62368000000000001</v>
      </c>
      <c r="J10" s="225"/>
      <c r="K10" s="226">
        <f>IFERROR(VLOOKUP(D10,'Data Feed'!$A$3:$I$30,8,FALSE),"")</f>
        <v>0.61846999999999996</v>
      </c>
      <c r="L10" s="227">
        <f t="shared" si="0"/>
        <v>51.950000000000607</v>
      </c>
      <c r="M10" s="228">
        <f t="shared" si="1"/>
        <v>0.32619974059661949</v>
      </c>
      <c r="N10" s="229" t="str">
        <f t="shared" si="6"/>
        <v/>
      </c>
      <c r="O10" s="230">
        <f t="shared" si="2"/>
        <v>77.099999999999952</v>
      </c>
      <c r="P10" s="231">
        <f t="shared" si="7"/>
        <v>0.67380025940338062</v>
      </c>
      <c r="Q10" s="232">
        <f t="shared" si="3"/>
        <v>0.67380025940338062</v>
      </c>
      <c r="R10" s="233">
        <f t="shared" si="4"/>
        <v>25.149999999999338</v>
      </c>
      <c r="S10" s="234">
        <f>IFERROR(VLOOKUP(D10,'Data Feed'!$A$3:$I$30,9,FALSE),"")</f>
        <v>0.62617999999999996</v>
      </c>
      <c r="T10" s="235"/>
      <c r="U10" s="236">
        <f>IFERROR(VLOOKUP(D10,'Data Feed'!A:I,2,FALSE),"")</f>
        <v>43983.631249999999</v>
      </c>
      <c r="V10" s="237">
        <f t="shared" si="5"/>
        <v>0.62366500000000002</v>
      </c>
      <c r="W10" s="287"/>
      <c r="X10" s="198"/>
    </row>
    <row r="11" spans="1:24" ht="16.5" customHeight="1" x14ac:dyDescent="0.3">
      <c r="A11" s="197"/>
      <c r="B11" s="288" t="s">
        <v>3</v>
      </c>
      <c r="C11" s="300">
        <v>8</v>
      </c>
      <c r="D11" s="201" t="s">
        <v>33</v>
      </c>
      <c r="E11" s="201"/>
      <c r="F11" s="202">
        <f>IFERROR(VLOOKUP(D11,'Data Feed'!$A$3:$F$30,3,FALSE),"")</f>
        <v>0.89686999999999995</v>
      </c>
      <c r="G11" s="203">
        <f>AVERAGE(H11:H15)</f>
        <v>0.43999999999999595</v>
      </c>
      <c r="H11" s="204">
        <f>IFERROR(VLOOKUP(D11,'Data Feed'!$A$3:$F$30,5,FALSE),"")</f>
        <v>0.20000000000020002</v>
      </c>
      <c r="I11" s="205">
        <f>IFERROR(VLOOKUP(D11,'Data Feed'!$A$3:$F$30,4,FALSE),"")</f>
        <v>0.89688999999999997</v>
      </c>
      <c r="J11" s="206"/>
      <c r="K11" s="207">
        <f>IFERROR(VLOOKUP(D11,'Data Feed'!$A$3:$I$30,8,FALSE),"")</f>
        <v>0.89629000000000003</v>
      </c>
      <c r="L11" s="208">
        <f t="shared" si="0"/>
        <v>5.8999999999986841</v>
      </c>
      <c r="M11" s="209">
        <f t="shared" si="1"/>
        <v>0.88930581613510795</v>
      </c>
      <c r="N11" s="210">
        <f t="shared" si="6"/>
        <v>-0.88930581613510795</v>
      </c>
      <c r="O11" s="211">
        <f t="shared" si="2"/>
        <v>53.299999999999457</v>
      </c>
      <c r="P11" s="212" t="str">
        <f t="shared" si="7"/>
        <v/>
      </c>
      <c r="Q11" s="213">
        <f t="shared" si="3"/>
        <v>0.11069418386489205</v>
      </c>
      <c r="R11" s="214">
        <f t="shared" si="4"/>
        <v>47.400000000000773</v>
      </c>
      <c r="S11" s="215">
        <f>IFERROR(VLOOKUP(D11,'Data Feed'!$A$3:$I$30,9,FALSE),"")</f>
        <v>0.90161999999999998</v>
      </c>
      <c r="T11" s="216"/>
      <c r="U11" s="217">
        <f>IFERROR(VLOOKUP(D11,'Data Feed'!A:I,2,FALSE),"")</f>
        <v>43983.631249999999</v>
      </c>
      <c r="V11" s="218">
        <f t="shared" si="5"/>
        <v>0.8968799999999999</v>
      </c>
      <c r="W11" s="288" t="s">
        <v>3</v>
      </c>
      <c r="X11" s="198"/>
    </row>
    <row r="12" spans="1:24" ht="16.5" customHeight="1" x14ac:dyDescent="0.3">
      <c r="A12" s="197"/>
      <c r="B12" s="289"/>
      <c r="C12" s="301">
        <v>9</v>
      </c>
      <c r="D12" s="161" t="s">
        <v>11</v>
      </c>
      <c r="F12" s="162">
        <f>IFERROR(VLOOKUP(D12,'Data Feed'!$A$3:$F$30,3,FALSE),"")</f>
        <v>1.649</v>
      </c>
      <c r="G12" s="163"/>
      <c r="H12" s="164">
        <f>IFERROR(VLOOKUP(D12,'Data Feed'!$A$3:$F$30,5,FALSE),"")</f>
        <v>0.19999999999908979</v>
      </c>
      <c r="I12" s="165">
        <f>IFERROR(VLOOKUP(D12,'Data Feed'!$A$3:$F$30,4,FALSE),"")</f>
        <v>1.6490199999999999</v>
      </c>
      <c r="J12" s="166"/>
      <c r="K12" s="167">
        <f>IFERROR(VLOOKUP(D12,'Data Feed'!$A$3:$I$30,8,FALSE),"")</f>
        <v>1.6463099999999999</v>
      </c>
      <c r="L12" s="168">
        <f t="shared" si="0"/>
        <v>27.000000000001467</v>
      </c>
      <c r="M12" s="169">
        <f t="shared" si="1"/>
        <v>0.88920804267541453</v>
      </c>
      <c r="N12" s="170">
        <f t="shared" si="6"/>
        <v>-0.88920804267541453</v>
      </c>
      <c r="O12" s="171">
        <f t="shared" si="2"/>
        <v>243.70000000000002</v>
      </c>
      <c r="P12" s="172" t="str">
        <f t="shared" si="7"/>
        <v/>
      </c>
      <c r="Q12" s="173">
        <f t="shared" si="3"/>
        <v>0.11079195732458536</v>
      </c>
      <c r="R12" s="174">
        <f t="shared" si="4"/>
        <v>216.69999999999857</v>
      </c>
      <c r="S12" s="175">
        <f>IFERROR(VLOOKUP(D12,'Data Feed'!$A$3:$I$30,9,FALSE),"")</f>
        <v>1.6706799999999999</v>
      </c>
      <c r="T12" s="176"/>
      <c r="U12" s="177">
        <f>IFERROR(VLOOKUP(D12,'Data Feed'!A:I,2,FALSE),"")</f>
        <v>43983.631249999999</v>
      </c>
      <c r="V12" s="219">
        <f t="shared" si="5"/>
        <v>1.6490100000000001</v>
      </c>
      <c r="W12" s="289"/>
      <c r="X12" s="198"/>
    </row>
    <row r="13" spans="1:24" ht="16.5" customHeight="1" x14ac:dyDescent="0.3">
      <c r="A13" s="197"/>
      <c r="B13" s="289"/>
      <c r="C13" s="301">
        <v>10</v>
      </c>
      <c r="D13" s="161" t="s">
        <v>15</v>
      </c>
      <c r="F13" s="162">
        <f>IFERROR(VLOOKUP(D13,'Data Feed'!$A$3:$F$30,3,FALSE),"")</f>
        <v>1.5234099999999999</v>
      </c>
      <c r="G13" s="163"/>
      <c r="H13" s="164">
        <f>IFERROR(VLOOKUP(D13,'Data Feed'!$A$3:$F$30,5,FALSE),"")</f>
        <v>0.40000000000040004</v>
      </c>
      <c r="I13" s="165">
        <f>IFERROR(VLOOKUP(D13,'Data Feed'!$A$3:$F$30,4,FALSE),"")</f>
        <v>1.52345</v>
      </c>
      <c r="J13" s="166"/>
      <c r="K13" s="167">
        <f>IFERROR(VLOOKUP(D13,'Data Feed'!$A$3:$I$30,8,FALSE),"")</f>
        <v>1.5228200000000001</v>
      </c>
      <c r="L13" s="168">
        <f t="shared" si="0"/>
        <v>6.0999999999977739</v>
      </c>
      <c r="M13" s="169">
        <f t="shared" si="1"/>
        <v>0.93717816683833322</v>
      </c>
      <c r="N13" s="170">
        <f t="shared" si="6"/>
        <v>-0.93717816683833322</v>
      </c>
      <c r="O13" s="171">
        <f t="shared" si="2"/>
        <v>97.099999999998857</v>
      </c>
      <c r="P13" s="172" t="str">
        <f t="shared" si="7"/>
        <v/>
      </c>
      <c r="Q13" s="173">
        <f t="shared" si="3"/>
        <v>6.2821833161666785E-2</v>
      </c>
      <c r="R13" s="174">
        <f t="shared" si="4"/>
        <v>91.00000000000108</v>
      </c>
      <c r="S13" s="175">
        <f>IFERROR(VLOOKUP(D13,'Data Feed'!$A$3:$I$30,9,FALSE),"")</f>
        <v>1.5325299999999999</v>
      </c>
      <c r="T13" s="176"/>
      <c r="U13" s="177">
        <f>IFERROR(VLOOKUP(D13,'Data Feed'!A:I,2,FALSE),"")</f>
        <v>43983.631249999999</v>
      </c>
      <c r="V13" s="219">
        <f t="shared" si="5"/>
        <v>1.5234299999999998</v>
      </c>
      <c r="W13" s="289"/>
      <c r="X13" s="198"/>
    </row>
    <row r="14" spans="1:24" ht="16.5" customHeight="1" x14ac:dyDescent="0.3">
      <c r="A14" s="197"/>
      <c r="B14" s="289"/>
      <c r="C14" s="301">
        <v>11</v>
      </c>
      <c r="D14" s="161" t="s">
        <v>30</v>
      </c>
      <c r="F14" s="162">
        <f>IFERROR(VLOOKUP(D14,'Data Feed'!$A$3:$F$30,3,FALSE),"")</f>
        <v>1.06857</v>
      </c>
      <c r="G14" s="163"/>
      <c r="H14" s="164">
        <f>IFERROR(VLOOKUP(D14,'Data Feed'!$A$3:$F$30,5,FALSE),"")</f>
        <v>0.29999999999974492</v>
      </c>
      <c r="I14" s="165">
        <f>IFERROR(VLOOKUP(D14,'Data Feed'!$A$3:$F$30,4,FALSE),"")</f>
        <v>1.0686</v>
      </c>
      <c r="J14" s="166"/>
      <c r="K14" s="167">
        <f>IFERROR(VLOOKUP(D14,'Data Feed'!$A$3:$I$30,8,FALSE),"")</f>
        <v>1.0668800000000001</v>
      </c>
      <c r="L14" s="168">
        <f t="shared" si="0"/>
        <v>17.050000000000676</v>
      </c>
      <c r="M14" s="169">
        <f t="shared" si="1"/>
        <v>0.54894179894176842</v>
      </c>
      <c r="N14" s="170">
        <f t="shared" si="6"/>
        <v>-0.54894179894176842</v>
      </c>
      <c r="O14" s="171">
        <f t="shared" si="2"/>
        <v>37.799999999998946</v>
      </c>
      <c r="P14" s="172" t="str">
        <f t="shared" si="7"/>
        <v/>
      </c>
      <c r="Q14" s="173">
        <f t="shared" si="3"/>
        <v>0.45105820105823147</v>
      </c>
      <c r="R14" s="174">
        <f t="shared" si="4"/>
        <v>20.74999999999827</v>
      </c>
      <c r="S14" s="175">
        <f>IFERROR(VLOOKUP(D14,'Data Feed'!$A$3:$I$30,9,FALSE),"")</f>
        <v>1.0706599999999999</v>
      </c>
      <c r="T14" s="176"/>
      <c r="U14" s="177">
        <f>IFERROR(VLOOKUP(D14,'Data Feed'!A:I,2,FALSE),"")</f>
        <v>43983.631249999999</v>
      </c>
      <c r="V14" s="219">
        <f t="shared" si="5"/>
        <v>1.0685850000000001</v>
      </c>
      <c r="W14" s="289"/>
      <c r="X14" s="198"/>
    </row>
    <row r="15" spans="1:24" ht="16.5" customHeight="1" x14ac:dyDescent="0.3">
      <c r="A15" s="197"/>
      <c r="B15" s="290"/>
      <c r="C15" s="302">
        <v>12</v>
      </c>
      <c r="D15" s="220" t="s">
        <v>8</v>
      </c>
      <c r="E15" s="220"/>
      <c r="F15" s="221">
        <f>IFERROR(VLOOKUP(D15,'Data Feed'!$A$3:$F$30,3,FALSE),"")</f>
        <v>1.78226</v>
      </c>
      <c r="G15" s="222"/>
      <c r="H15" s="223">
        <f>IFERROR(VLOOKUP(D15,'Data Feed'!$A$3:$F$30,5,FALSE),"")</f>
        <v>1.100000000000545</v>
      </c>
      <c r="I15" s="224">
        <f>IFERROR(VLOOKUP(D15,'Data Feed'!$A$3:$F$30,4,FALSE),"")</f>
        <v>1.78237</v>
      </c>
      <c r="J15" s="225"/>
      <c r="K15" s="226">
        <f>IFERROR(VLOOKUP(D15,'Data Feed'!$A$3:$I$30,8,FALSE),"")</f>
        <v>1.7796000000000001</v>
      </c>
      <c r="L15" s="227">
        <f t="shared" si="0"/>
        <v>27.15000000000023</v>
      </c>
      <c r="M15" s="228">
        <f t="shared" si="1"/>
        <v>0.83031249999999868</v>
      </c>
      <c r="N15" s="229">
        <f t="shared" si="6"/>
        <v>-0.83031249999999868</v>
      </c>
      <c r="O15" s="230">
        <f t="shared" si="2"/>
        <v>160.00000000000014</v>
      </c>
      <c r="P15" s="231" t="str">
        <f t="shared" si="7"/>
        <v/>
      </c>
      <c r="Q15" s="232">
        <f t="shared" si="3"/>
        <v>0.16968750000000132</v>
      </c>
      <c r="R15" s="233">
        <f t="shared" si="4"/>
        <v>132.84999999999991</v>
      </c>
      <c r="S15" s="234">
        <f>IFERROR(VLOOKUP(D15,'Data Feed'!$A$3:$I$30,9,FALSE),"")</f>
        <v>1.7956000000000001</v>
      </c>
      <c r="T15" s="235"/>
      <c r="U15" s="236">
        <f>IFERROR(VLOOKUP(D15,'Data Feed'!A:I,2,FALSE),"")</f>
        <v>43983.631249999999</v>
      </c>
      <c r="V15" s="237">
        <f t="shared" si="5"/>
        <v>1.7823150000000001</v>
      </c>
      <c r="W15" s="290"/>
      <c r="X15" s="198"/>
    </row>
    <row r="16" spans="1:24" ht="16.5" customHeight="1" x14ac:dyDescent="0.3">
      <c r="A16" s="197"/>
      <c r="B16" s="291" t="s">
        <v>2</v>
      </c>
      <c r="C16" s="300">
        <v>13</v>
      </c>
      <c r="D16" s="201" t="s">
        <v>10</v>
      </c>
      <c r="E16" s="201"/>
      <c r="F16" s="202">
        <f>IFERROR(VLOOKUP(D16,'Data Feed'!$A$3:$F$30,3,FALSE),"")</f>
        <v>1.8386100000000001</v>
      </c>
      <c r="G16" s="203">
        <f>AVERAGE(H16:H19)</f>
        <v>0.6249999999990985</v>
      </c>
      <c r="H16" s="204">
        <f>IFERROR(VLOOKUP(D16,'Data Feed'!$A$3:$F$30,5,FALSE),"")</f>
        <v>0.49999999999883471</v>
      </c>
      <c r="I16" s="205">
        <f>IFERROR(VLOOKUP(D16,'Data Feed'!$A$3:$F$30,4,FALSE),"")</f>
        <v>1.83866</v>
      </c>
      <c r="J16" s="206"/>
      <c r="K16" s="207">
        <f>IFERROR(VLOOKUP(D16,'Data Feed'!$A$3:$I$30,8,FALSE),"")</f>
        <v>1.83433</v>
      </c>
      <c r="L16" s="208">
        <f t="shared" si="0"/>
        <v>43.050000000000033</v>
      </c>
      <c r="M16" s="209">
        <f t="shared" si="1"/>
        <v>0.79372304743651101</v>
      </c>
      <c r="N16" s="210">
        <f t="shared" si="6"/>
        <v>-0.79372304743651101</v>
      </c>
      <c r="O16" s="211">
        <f t="shared" si="2"/>
        <v>208.69999999999945</v>
      </c>
      <c r="P16" s="212" t="str">
        <f t="shared" si="7"/>
        <v/>
      </c>
      <c r="Q16" s="213">
        <f t="shared" si="3"/>
        <v>0.20627695256348899</v>
      </c>
      <c r="R16" s="214">
        <f t="shared" si="4"/>
        <v>165.64999999999941</v>
      </c>
      <c r="S16" s="215">
        <f>IFERROR(VLOOKUP(D16,'Data Feed'!$A$3:$I$30,9,FALSE),"")</f>
        <v>1.8552</v>
      </c>
      <c r="T16" s="216"/>
      <c r="U16" s="217">
        <f>IFERROR(VLOOKUP(D16,'Data Feed'!A:I,2,FALSE),"")</f>
        <v>43983.631249999999</v>
      </c>
      <c r="V16" s="218">
        <f t="shared" si="5"/>
        <v>1.838635</v>
      </c>
      <c r="W16" s="291" t="s">
        <v>2</v>
      </c>
      <c r="X16" s="198"/>
    </row>
    <row r="17" spans="1:24" ht="16.5" customHeight="1" x14ac:dyDescent="0.3">
      <c r="A17" s="197"/>
      <c r="B17" s="292"/>
      <c r="C17" s="301">
        <v>14</v>
      </c>
      <c r="D17" s="161" t="s">
        <v>14</v>
      </c>
      <c r="F17" s="162">
        <f>IFERROR(VLOOKUP(D17,'Data Feed'!$A$3:$F$30,3,FALSE),"")</f>
        <v>1.6986000000000001</v>
      </c>
      <c r="G17" s="163"/>
      <c r="H17" s="164">
        <f>IFERROR(VLOOKUP(D17,'Data Feed'!$A$3:$F$30,5,FALSE),"")</f>
        <v>0.39999999999817959</v>
      </c>
      <c r="I17" s="165">
        <f>IFERROR(VLOOKUP(D17,'Data Feed'!$A$3:$F$30,4,FALSE),"")</f>
        <v>1.6986399999999999</v>
      </c>
      <c r="J17" s="166"/>
      <c r="K17" s="167">
        <f>IFERROR(VLOOKUP(D17,'Data Feed'!$A$3:$I$30,8,FALSE),"")</f>
        <v>1.6971799999999999</v>
      </c>
      <c r="L17" s="168">
        <f t="shared" si="0"/>
        <v>14.400000000001079</v>
      </c>
      <c r="M17" s="169">
        <f t="shared" si="1"/>
        <v>0.75468483816011966</v>
      </c>
      <c r="N17" s="170">
        <f t="shared" si="6"/>
        <v>-0.75468483816011966</v>
      </c>
      <c r="O17" s="171">
        <f t="shared" si="2"/>
        <v>58.700000000000415</v>
      </c>
      <c r="P17" s="172" t="str">
        <f t="shared" si="7"/>
        <v/>
      </c>
      <c r="Q17" s="173">
        <f t="shared" si="3"/>
        <v>0.24531516183988022</v>
      </c>
      <c r="R17" s="174">
        <f t="shared" si="4"/>
        <v>44.299999999999343</v>
      </c>
      <c r="S17" s="175">
        <f>IFERROR(VLOOKUP(D17,'Data Feed'!$A$3:$I$30,9,FALSE),"")</f>
        <v>1.70305</v>
      </c>
      <c r="T17" s="176"/>
      <c r="U17" s="177">
        <f>IFERROR(VLOOKUP(D17,'Data Feed'!A:I,2,FALSE),"")</f>
        <v>43983.631249999999</v>
      </c>
      <c r="V17" s="219">
        <f t="shared" si="5"/>
        <v>1.69862</v>
      </c>
      <c r="W17" s="292"/>
      <c r="X17" s="198"/>
    </row>
    <row r="18" spans="1:24" ht="16.5" customHeight="1" x14ac:dyDescent="0.3">
      <c r="A18" s="197"/>
      <c r="B18" s="292"/>
      <c r="C18" s="301">
        <v>15</v>
      </c>
      <c r="D18" s="161" t="s">
        <v>29</v>
      </c>
      <c r="F18" s="162">
        <f>IFERROR(VLOOKUP(D18,'Data Feed'!$A$3:$F$30,3,FALSE),"")</f>
        <v>1.1914400000000001</v>
      </c>
      <c r="G18" s="163"/>
      <c r="H18" s="164">
        <f>IFERROR(VLOOKUP(D18,'Data Feed'!$A$3:$F$30,5,FALSE),"")</f>
        <v>0.59999999999948983</v>
      </c>
      <c r="I18" s="165">
        <f>IFERROR(VLOOKUP(D18,'Data Feed'!$A$3:$F$30,4,FALSE),"")</f>
        <v>1.1915</v>
      </c>
      <c r="J18" s="166"/>
      <c r="K18" s="167">
        <f>IFERROR(VLOOKUP(D18,'Data Feed'!$A$3:$I$30,8,FALSE),"")</f>
        <v>1.1838599999999999</v>
      </c>
      <c r="L18" s="168">
        <f t="shared" si="0"/>
        <v>76.10000000000116</v>
      </c>
      <c r="M18" s="169">
        <f t="shared" si="1"/>
        <v>0.11201866977830244</v>
      </c>
      <c r="N18" s="170" t="str">
        <f t="shared" si="6"/>
        <v/>
      </c>
      <c r="O18" s="171">
        <f t="shared" si="2"/>
        <v>85.700000000001893</v>
      </c>
      <c r="P18" s="172">
        <f t="shared" si="7"/>
        <v>0.88798133022169767</v>
      </c>
      <c r="Q18" s="173">
        <f t="shared" si="3"/>
        <v>0.88798133022169767</v>
      </c>
      <c r="R18" s="174">
        <f t="shared" si="4"/>
        <v>9.6000000000007191</v>
      </c>
      <c r="S18" s="175">
        <f>IFERROR(VLOOKUP(D18,'Data Feed'!$A$3:$I$30,9,FALSE),"")</f>
        <v>1.1924300000000001</v>
      </c>
      <c r="T18" s="176"/>
      <c r="U18" s="177">
        <f>IFERROR(VLOOKUP(D18,'Data Feed'!A:I,2,FALSE),"")</f>
        <v>43983.631249999999</v>
      </c>
      <c r="V18" s="219">
        <f t="shared" si="5"/>
        <v>1.19147</v>
      </c>
      <c r="W18" s="292"/>
      <c r="X18" s="198"/>
    </row>
    <row r="19" spans="1:24" ht="16.5" customHeight="1" x14ac:dyDescent="0.3">
      <c r="A19" s="197"/>
      <c r="B19" s="293"/>
      <c r="C19" s="302">
        <v>16</v>
      </c>
      <c r="D19" s="220" t="s">
        <v>7</v>
      </c>
      <c r="E19" s="220"/>
      <c r="F19" s="221">
        <f>IFERROR(VLOOKUP(D19,'Data Feed'!$A$3:$F$30,3,FALSE),"")</f>
        <v>1.9872300000000001</v>
      </c>
      <c r="G19" s="222"/>
      <c r="H19" s="223">
        <f>IFERROR(VLOOKUP(D19,'Data Feed'!$A$3:$F$30,5,FALSE),"")</f>
        <v>0.99999999999988987</v>
      </c>
      <c r="I19" s="224">
        <f>IFERROR(VLOOKUP(D19,'Data Feed'!$A$3:$F$30,4,FALSE),"")</f>
        <v>1.98733</v>
      </c>
      <c r="J19" s="225"/>
      <c r="K19" s="226">
        <f>IFERROR(VLOOKUP(D19,'Data Feed'!$A$3:$I$30,8,FALSE),"")</f>
        <v>1.98247</v>
      </c>
      <c r="L19" s="227">
        <f t="shared" si="0"/>
        <v>48.100000000002026</v>
      </c>
      <c r="M19" s="228">
        <f t="shared" si="1"/>
        <v>0.55627306273060695</v>
      </c>
      <c r="N19" s="229">
        <f t="shared" si="6"/>
        <v>-0.55627306273060695</v>
      </c>
      <c r="O19" s="230">
        <f t="shared" si="2"/>
        <v>108.39999999999961</v>
      </c>
      <c r="P19" s="231" t="str">
        <f t="shared" si="7"/>
        <v/>
      </c>
      <c r="Q19" s="232">
        <f t="shared" si="3"/>
        <v>0.44372693726939294</v>
      </c>
      <c r="R19" s="233">
        <f t="shared" si="4"/>
        <v>60.299999999997581</v>
      </c>
      <c r="S19" s="234">
        <f>IFERROR(VLOOKUP(D19,'Data Feed'!$A$3:$I$30,9,FALSE),"")</f>
        <v>1.9933099999999999</v>
      </c>
      <c r="T19" s="235"/>
      <c r="U19" s="236">
        <f>IFERROR(VLOOKUP(D19,'Data Feed'!A:I,2,FALSE),"")</f>
        <v>43983.631249999999</v>
      </c>
      <c r="V19" s="237">
        <f t="shared" si="5"/>
        <v>1.9872800000000002</v>
      </c>
      <c r="W19" s="293"/>
      <c r="X19" s="198"/>
    </row>
    <row r="20" spans="1:24" ht="16.5" customHeight="1" x14ac:dyDescent="0.3">
      <c r="A20" s="197"/>
      <c r="B20" s="294" t="s">
        <v>0</v>
      </c>
      <c r="C20" s="300">
        <v>17</v>
      </c>
      <c r="D20" s="201" t="s">
        <v>20</v>
      </c>
      <c r="E20" s="201"/>
      <c r="F20" s="202">
        <f>IFERROR(VLOOKUP(D20,'Data Feed'!$A$3:$F$30,3,FALSE),"")</f>
        <v>119.748</v>
      </c>
      <c r="G20" s="203">
        <f>AVERAGE(H20:H25)</f>
        <v>0.26666666666604516</v>
      </c>
      <c r="H20" s="204">
        <f>IFERROR(VLOOKUP(D20,'Data Feed'!$A$3:$F$30,5,FALSE),"")</f>
        <v>9.9999999999056399E-2</v>
      </c>
      <c r="I20" s="238">
        <f>IFERROR(VLOOKUP(D20,'Data Feed'!$A$3:$F$30,4,FALSE),"")</f>
        <v>119.749</v>
      </c>
      <c r="J20" s="206"/>
      <c r="K20" s="207">
        <f>IFERROR(VLOOKUP(D20,'Data Feed'!$A$3:$I$30,8,FALSE),"")</f>
        <v>119.425</v>
      </c>
      <c r="L20" s="208">
        <f t="shared" si="0"/>
        <v>32.350000000000989</v>
      </c>
      <c r="M20" s="209">
        <f t="shared" si="1"/>
        <v>0.41288566243192604</v>
      </c>
      <c r="N20" s="210" t="str">
        <f t="shared" si="6"/>
        <v/>
      </c>
      <c r="O20" s="211">
        <f t="shared" si="2"/>
        <v>55.100000000000193</v>
      </c>
      <c r="P20" s="212">
        <f t="shared" si="7"/>
        <v>0.58711433756807396</v>
      </c>
      <c r="Q20" s="213">
        <f t="shared" si="3"/>
        <v>0.58711433756807396</v>
      </c>
      <c r="R20" s="214">
        <f t="shared" si="4"/>
        <v>22.749999999999204</v>
      </c>
      <c r="S20" s="215">
        <f>IFERROR(VLOOKUP(D20,'Data Feed'!$A$3:$I$30,9,FALSE),"")</f>
        <v>119.976</v>
      </c>
      <c r="T20" s="239"/>
      <c r="U20" s="217">
        <f>IFERROR(VLOOKUP(D20,'Data Feed'!A:I,2,FALSE),"")</f>
        <v>43983.631249999999</v>
      </c>
      <c r="V20" s="218">
        <f t="shared" si="5"/>
        <v>119.74850000000001</v>
      </c>
      <c r="W20" s="294" t="s">
        <v>0</v>
      </c>
      <c r="X20" s="198"/>
    </row>
    <row r="21" spans="1:24" ht="16.5" customHeight="1" x14ac:dyDescent="0.3">
      <c r="A21" s="197"/>
      <c r="B21" s="295"/>
      <c r="C21" s="301">
        <v>18</v>
      </c>
      <c r="D21" s="161" t="s">
        <v>19</v>
      </c>
      <c r="F21" s="162">
        <f>IFERROR(VLOOKUP(D21,'Data Feed'!$A$3:$F$30,3,FALSE),"")</f>
        <v>133.51400000000001</v>
      </c>
      <c r="G21" s="163"/>
      <c r="H21" s="164">
        <f>IFERROR(VLOOKUP(D21,'Data Feed'!$A$3:$F$30,5,FALSE),"")</f>
        <v>0.1999999999981128</v>
      </c>
      <c r="I21" s="179">
        <f>IFERROR(VLOOKUP(D21,'Data Feed'!$A$3:$F$30,4,FALSE),"")</f>
        <v>133.51599999999999</v>
      </c>
      <c r="J21" s="166"/>
      <c r="K21" s="167">
        <f>IFERROR(VLOOKUP(D21,'Data Feed'!$A$3:$I$30,8,FALSE),"")</f>
        <v>132.703</v>
      </c>
      <c r="L21" s="168">
        <f t="shared" si="0"/>
        <v>81.19999999999834</v>
      </c>
      <c r="M21" s="169">
        <f t="shared" si="1"/>
        <v>0.15942028985509682</v>
      </c>
      <c r="N21" s="170" t="str">
        <f t="shared" si="6"/>
        <v/>
      </c>
      <c r="O21" s="171">
        <f t="shared" si="2"/>
        <v>96.600000000000819</v>
      </c>
      <c r="P21" s="172">
        <f t="shared" si="7"/>
        <v>0.84057971014490329</v>
      </c>
      <c r="Q21" s="173">
        <f t="shared" si="3"/>
        <v>0.84057971014490329</v>
      </c>
      <c r="R21" s="174">
        <f t="shared" si="4"/>
        <v>15.400000000002478</v>
      </c>
      <c r="S21" s="175">
        <f>IFERROR(VLOOKUP(D21,'Data Feed'!$A$3:$I$30,9,FALSE),"")</f>
        <v>133.66900000000001</v>
      </c>
      <c r="T21" s="180"/>
      <c r="U21" s="177">
        <f>IFERROR(VLOOKUP(D21,'Data Feed'!A:I,2,FALSE),"")</f>
        <v>43983.631249999999</v>
      </c>
      <c r="V21" s="219">
        <f t="shared" si="5"/>
        <v>133.51499999999999</v>
      </c>
      <c r="W21" s="295"/>
      <c r="X21" s="198"/>
    </row>
    <row r="22" spans="1:24" ht="16.5" customHeight="1" x14ac:dyDescent="0.3">
      <c r="A22" s="197"/>
      <c r="B22" s="295"/>
      <c r="C22" s="301">
        <v>19</v>
      </c>
      <c r="D22" s="161" t="s">
        <v>23</v>
      </c>
      <c r="F22" s="162">
        <f>IFERROR(VLOOKUP(D22,'Data Feed'!$A$3:$F$30,3,FALSE),"")</f>
        <v>72.616</v>
      </c>
      <c r="G22" s="163"/>
      <c r="H22" s="164">
        <f>IFERROR(VLOOKUP(D22,'Data Feed'!$A$3:$F$30,5,FALSE),"")</f>
        <v>0.30000000000001137</v>
      </c>
      <c r="I22" s="179">
        <f>IFERROR(VLOOKUP(D22,'Data Feed'!$A$3:$F$30,4,FALSE),"")</f>
        <v>72.619</v>
      </c>
      <c r="J22" s="166"/>
      <c r="K22" s="167">
        <f>IFERROR(VLOOKUP(D22,'Data Feed'!$A$3:$I$30,8,FALSE),"")</f>
        <v>71.603999999999999</v>
      </c>
      <c r="L22" s="168">
        <f t="shared" si="0"/>
        <v>101.35000000000076</v>
      </c>
      <c r="M22" s="169">
        <f t="shared" si="1"/>
        <v>0.16994266994266616</v>
      </c>
      <c r="N22" s="170" t="str">
        <f t="shared" si="6"/>
        <v/>
      </c>
      <c r="O22" s="171">
        <f t="shared" si="2"/>
        <v>122.10000000000036</v>
      </c>
      <c r="P22" s="172">
        <f t="shared" si="7"/>
        <v>0.83005733005733384</v>
      </c>
      <c r="Q22" s="173">
        <f t="shared" si="3"/>
        <v>0.83005733005733384</v>
      </c>
      <c r="R22" s="174">
        <f t="shared" si="4"/>
        <v>20.749999999999602</v>
      </c>
      <c r="S22" s="175">
        <f>IFERROR(VLOOKUP(D22,'Data Feed'!$A$3:$I$30,9,FALSE),"")</f>
        <v>72.825000000000003</v>
      </c>
      <c r="T22" s="180"/>
      <c r="U22" s="177">
        <f>IFERROR(VLOOKUP(D22,'Data Feed'!A:I,2,FALSE),"")</f>
        <v>43983.631249999999</v>
      </c>
      <c r="V22" s="219">
        <f t="shared" si="5"/>
        <v>72.617500000000007</v>
      </c>
      <c r="W22" s="295"/>
      <c r="X22" s="198"/>
    </row>
    <row r="23" spans="1:24" ht="16.5" customHeight="1" x14ac:dyDescent="0.3">
      <c r="A23" s="197"/>
      <c r="B23" s="295"/>
      <c r="C23" s="301">
        <v>20</v>
      </c>
      <c r="D23" s="161" t="s">
        <v>18</v>
      </c>
      <c r="F23" s="162">
        <f>IFERROR(VLOOKUP(D23,'Data Feed'!$A$3:$F$30,3,FALSE),"")</f>
        <v>67.185000000000002</v>
      </c>
      <c r="G23" s="163"/>
      <c r="H23" s="164">
        <f>IFERROR(VLOOKUP(D23,'Data Feed'!$A$3:$F$30,5,FALSE),"")</f>
        <v>0.39999999999906777</v>
      </c>
      <c r="I23" s="179">
        <f>IFERROR(VLOOKUP(D23,'Data Feed'!$A$3:$F$30,4,FALSE),"")</f>
        <v>67.188999999999993</v>
      </c>
      <c r="J23" s="166"/>
      <c r="K23" s="167">
        <f>IFERROR(VLOOKUP(D23,'Data Feed'!$A$3:$I$30,8,FALSE),"")</f>
        <v>66.605999999999995</v>
      </c>
      <c r="L23" s="168">
        <f t="shared" si="0"/>
        <v>58.100000000000307</v>
      </c>
      <c r="M23" s="169">
        <f t="shared" si="1"/>
        <v>0.20301783264745721</v>
      </c>
      <c r="N23" s="170" t="str">
        <f t="shared" si="6"/>
        <v/>
      </c>
      <c r="O23" s="171">
        <f t="shared" si="2"/>
        <v>72.89999999999992</v>
      </c>
      <c r="P23" s="172">
        <f t="shared" si="7"/>
        <v>0.79698216735254279</v>
      </c>
      <c r="Q23" s="173">
        <f t="shared" si="3"/>
        <v>0.79698216735254279</v>
      </c>
      <c r="R23" s="174">
        <f t="shared" si="4"/>
        <v>14.799999999999613</v>
      </c>
      <c r="S23" s="175">
        <f>IFERROR(VLOOKUP(D23,'Data Feed'!$A$3:$I$30,9,FALSE),"")</f>
        <v>67.334999999999994</v>
      </c>
      <c r="T23" s="180"/>
      <c r="U23" s="177">
        <f>IFERROR(VLOOKUP(D23,'Data Feed'!A:I,2,FALSE),"")</f>
        <v>43983.631249999999</v>
      </c>
      <c r="V23" s="219">
        <f t="shared" si="5"/>
        <v>67.186999999999998</v>
      </c>
      <c r="W23" s="295"/>
      <c r="X23" s="198"/>
    </row>
    <row r="24" spans="1:24" ht="16.5" customHeight="1" x14ac:dyDescent="0.3">
      <c r="A24" s="197"/>
      <c r="B24" s="295"/>
      <c r="C24" s="301">
        <v>21</v>
      </c>
      <c r="D24" s="161" t="s">
        <v>22</v>
      </c>
      <c r="F24" s="162">
        <f>IFERROR(VLOOKUP(D24,'Data Feed'!$A$3:$F$30,3,FALSE),"")</f>
        <v>78.603999999999999</v>
      </c>
      <c r="G24" s="163"/>
      <c r="H24" s="164">
        <f>IFERROR(VLOOKUP(D24,'Data Feed'!$A$3:$F$30,5,FALSE),"")</f>
        <v>0.19999999999953388</v>
      </c>
      <c r="I24" s="179">
        <f>IFERROR(VLOOKUP(D24,'Data Feed'!$A$3:$F$30,4,FALSE),"")</f>
        <v>78.605999999999995</v>
      </c>
      <c r="J24" s="166"/>
      <c r="K24" s="167">
        <f>IFERROR(VLOOKUP(D24,'Data Feed'!$A$3:$I$30,8,FALSE),"")</f>
        <v>78.040000000000006</v>
      </c>
      <c r="L24" s="168">
        <f t="shared" si="0"/>
        <v>56.499999999998352</v>
      </c>
      <c r="M24" s="169">
        <f t="shared" si="1"/>
        <v>6.9192751235610972E-2</v>
      </c>
      <c r="N24" s="170" t="str">
        <f t="shared" si="6"/>
        <v/>
      </c>
      <c r="O24" s="171">
        <f t="shared" si="2"/>
        <v>60.699999999999932</v>
      </c>
      <c r="P24" s="172">
        <f t="shared" si="7"/>
        <v>0.93080724876438903</v>
      </c>
      <c r="Q24" s="173">
        <f t="shared" si="3"/>
        <v>0.93080724876438903</v>
      </c>
      <c r="R24" s="174">
        <f t="shared" si="4"/>
        <v>4.2000000000015802</v>
      </c>
      <c r="S24" s="175">
        <f>IFERROR(VLOOKUP(D24,'Data Feed'!$A$3:$I$30,9,FALSE),"")</f>
        <v>78.647000000000006</v>
      </c>
      <c r="T24" s="180"/>
      <c r="U24" s="177">
        <f>IFERROR(VLOOKUP(D24,'Data Feed'!A:I,2,FALSE),"")</f>
        <v>43983.631249999999</v>
      </c>
      <c r="V24" s="219">
        <f t="shared" si="5"/>
        <v>78.60499999999999</v>
      </c>
      <c r="W24" s="295"/>
      <c r="X24" s="198"/>
    </row>
    <row r="25" spans="1:24" ht="16.5" customHeight="1" x14ac:dyDescent="0.3">
      <c r="A25" s="197"/>
      <c r="B25" s="296"/>
      <c r="C25" s="302">
        <v>22</v>
      </c>
      <c r="D25" s="220" t="s">
        <v>21</v>
      </c>
      <c r="E25" s="220"/>
      <c r="F25" s="221">
        <f>IFERROR(VLOOKUP(D25,'Data Feed'!$A$3:$F$30,3,FALSE),"")</f>
        <v>112.059</v>
      </c>
      <c r="G25" s="222"/>
      <c r="H25" s="223">
        <f>IFERROR(VLOOKUP(D25,'Data Feed'!$A$3:$F$30,5,FALSE),"")</f>
        <v>0.40000000000048885</v>
      </c>
      <c r="I25" s="240">
        <f>IFERROR(VLOOKUP(D25,'Data Feed'!$A$3:$F$30,4,FALSE),"")</f>
        <v>112.063</v>
      </c>
      <c r="J25" s="225"/>
      <c r="K25" s="226">
        <f>IFERROR(VLOOKUP(D25,'Data Feed'!$A$3:$I$30,8,FALSE),"")</f>
        <v>111.761</v>
      </c>
      <c r="L25" s="227">
        <f t="shared" si="0"/>
        <v>30.000000000001137</v>
      </c>
      <c r="M25" s="228">
        <f t="shared" si="1"/>
        <v>0.45054945054943629</v>
      </c>
      <c r="N25" s="229" t="str">
        <f t="shared" si="6"/>
        <v/>
      </c>
      <c r="O25" s="230">
        <f t="shared" si="2"/>
        <v>54.600000000000648</v>
      </c>
      <c r="P25" s="231">
        <f t="shared" si="7"/>
        <v>0.54945054945056371</v>
      </c>
      <c r="Q25" s="232">
        <f t="shared" si="3"/>
        <v>0.54945054945056371</v>
      </c>
      <c r="R25" s="233">
        <f t="shared" si="4"/>
        <v>24.599999999999511</v>
      </c>
      <c r="S25" s="234">
        <f>IFERROR(VLOOKUP(D25,'Data Feed'!$A$3:$I$30,9,FALSE),"")</f>
        <v>112.307</v>
      </c>
      <c r="T25" s="241"/>
      <c r="U25" s="236">
        <f>IFERROR(VLOOKUP(D25,'Data Feed'!A:I,2,FALSE),"")</f>
        <v>43983.631249999999</v>
      </c>
      <c r="V25" s="237">
        <f t="shared" si="5"/>
        <v>112.06100000000001</v>
      </c>
      <c r="W25" s="296"/>
      <c r="X25" s="198"/>
    </row>
    <row r="26" spans="1:24" ht="16.5" customHeight="1" x14ac:dyDescent="0.3">
      <c r="A26" s="197"/>
      <c r="B26" s="297" t="s">
        <v>34</v>
      </c>
      <c r="C26" s="300">
        <v>23</v>
      </c>
      <c r="D26" s="201" t="s">
        <v>16</v>
      </c>
      <c r="E26" s="201"/>
      <c r="F26" s="202">
        <f>IFERROR(VLOOKUP(D26,'Data Feed'!$A$3:$F$30,3,FALSE),"")</f>
        <v>0.92381999999999997</v>
      </c>
      <c r="G26" s="203">
        <f>AVERAGE(H26:H31)</f>
        <v>0.44999999999998747</v>
      </c>
      <c r="H26" s="204">
        <f>IFERROR(VLOOKUP(D26,'Data Feed'!$A$3:$F$30,5,FALSE),"")</f>
        <v>0.40000000000040004</v>
      </c>
      <c r="I26" s="205">
        <f>IFERROR(VLOOKUP(D26,'Data Feed'!$A$3:$F$30,4,FALSE),"")</f>
        <v>0.92386000000000001</v>
      </c>
      <c r="J26" s="206"/>
      <c r="K26" s="207">
        <f>IFERROR(VLOOKUP(D26,'Data Feed'!$A$3:$I$30,8,FALSE),"")</f>
        <v>0.91624000000000005</v>
      </c>
      <c r="L26" s="208">
        <f t="shared" si="0"/>
        <v>75.999999999999403</v>
      </c>
      <c r="M26" s="209">
        <f t="shared" si="1"/>
        <v>0.23923923923924095</v>
      </c>
      <c r="N26" s="210" t="str">
        <f t="shared" si="6"/>
        <v/>
      </c>
      <c r="O26" s="211">
        <f t="shared" si="2"/>
        <v>99.899999999999437</v>
      </c>
      <c r="P26" s="212">
        <f t="shared" si="7"/>
        <v>0.76076076076075905</v>
      </c>
      <c r="Q26" s="213">
        <f t="shared" si="3"/>
        <v>0.76076076076075905</v>
      </c>
      <c r="R26" s="214">
        <f t="shared" si="4"/>
        <v>23.900000000000034</v>
      </c>
      <c r="S26" s="215">
        <f>IFERROR(VLOOKUP(D26,'Data Feed'!$A$3:$I$30,9,FALSE),"")</f>
        <v>0.92623</v>
      </c>
      <c r="T26" s="216"/>
      <c r="U26" s="217">
        <f>IFERROR(VLOOKUP(D26,'Data Feed'!A:I,2,FALSE),"")</f>
        <v>43983.631249999999</v>
      </c>
      <c r="V26" s="218">
        <f t="shared" si="5"/>
        <v>0.92383999999999999</v>
      </c>
      <c r="W26" s="297" t="s">
        <v>34</v>
      </c>
      <c r="X26" s="198"/>
    </row>
    <row r="27" spans="1:24" ht="16.5" customHeight="1" x14ac:dyDescent="0.3">
      <c r="A27" s="197"/>
      <c r="B27" s="298"/>
      <c r="C27" s="301">
        <v>24</v>
      </c>
      <c r="D27" s="161" t="s">
        <v>32</v>
      </c>
      <c r="F27" s="162">
        <f>IFERROR(VLOOKUP(D27,'Data Feed'!$A$3:$F$30,3,FALSE),"")</f>
        <v>0.64800000000000002</v>
      </c>
      <c r="G27" s="163"/>
      <c r="H27" s="164">
        <f>IFERROR(VLOOKUP(D27,'Data Feed'!$A$3:$F$30,5,FALSE),"")</f>
        <v>0.29999999999974492</v>
      </c>
      <c r="I27" s="165">
        <f>IFERROR(VLOOKUP(D27,'Data Feed'!$A$3:$F$30,4,FALSE),"")</f>
        <v>0.64802999999999999</v>
      </c>
      <c r="J27" s="166"/>
      <c r="K27" s="167">
        <f>IFERROR(VLOOKUP(D27,'Data Feed'!$A$3:$I$30,8,FALSE),"")</f>
        <v>0.63902000000000003</v>
      </c>
      <c r="L27" s="168">
        <f t="shared" si="0"/>
        <v>89.949999999999747</v>
      </c>
      <c r="M27" s="169">
        <f t="shared" si="1"/>
        <v>0.16712962962962585</v>
      </c>
      <c r="N27" s="170" t="str">
        <f t="shared" si="6"/>
        <v/>
      </c>
      <c r="O27" s="171">
        <f t="shared" si="2"/>
        <v>107.9999999999992</v>
      </c>
      <c r="P27" s="172">
        <f t="shared" si="7"/>
        <v>0.83287037037037415</v>
      </c>
      <c r="Q27" s="173">
        <f t="shared" si="3"/>
        <v>0.83287037037037415</v>
      </c>
      <c r="R27" s="174">
        <f t="shared" si="4"/>
        <v>18.049999999999457</v>
      </c>
      <c r="S27" s="175">
        <f>IFERROR(VLOOKUP(D27,'Data Feed'!$A$3:$I$30,9,FALSE),"")</f>
        <v>0.64981999999999995</v>
      </c>
      <c r="T27" s="176"/>
      <c r="U27" s="177">
        <f>IFERROR(VLOOKUP(D27,'Data Feed'!A:I,2,FALSE),"")</f>
        <v>43983.631249999999</v>
      </c>
      <c r="V27" s="219">
        <f t="shared" si="5"/>
        <v>0.64801500000000001</v>
      </c>
      <c r="W27" s="298"/>
      <c r="X27" s="198"/>
    </row>
    <row r="28" spans="1:24" ht="16.5" customHeight="1" x14ac:dyDescent="0.3">
      <c r="A28" s="197"/>
      <c r="B28" s="298"/>
      <c r="C28" s="301">
        <v>25</v>
      </c>
      <c r="D28" s="161" t="s">
        <v>9</v>
      </c>
      <c r="F28" s="162">
        <f>IFERROR(VLOOKUP(D28,'Data Feed'!$A$3:$F$30,3,FALSE),"")</f>
        <v>1.08084</v>
      </c>
      <c r="G28" s="163"/>
      <c r="H28" s="164">
        <f>IFERROR(VLOOKUP(D28,'Data Feed'!$A$3:$F$30,5,FALSE),"")</f>
        <v>0.59999999999948983</v>
      </c>
      <c r="I28" s="165">
        <f>IFERROR(VLOOKUP(D28,'Data Feed'!$A$3:$F$30,4,FALSE),"")</f>
        <v>1.0809</v>
      </c>
      <c r="J28" s="166"/>
      <c r="K28" s="167">
        <f>IFERROR(VLOOKUP(D28,'Data Feed'!$A$3:$I$30,8,FALSE),"")</f>
        <v>1.0737399999999999</v>
      </c>
      <c r="L28" s="168">
        <f t="shared" si="0"/>
        <v>71.300000000000807</v>
      </c>
      <c r="M28" s="169">
        <f t="shared" si="1"/>
        <v>0.10088272383353247</v>
      </c>
      <c r="N28" s="170" t="str">
        <f t="shared" si="6"/>
        <v/>
      </c>
      <c r="O28" s="171">
        <f t="shared" si="2"/>
        <v>79.299999999999926</v>
      </c>
      <c r="P28" s="172">
        <f t="shared" si="7"/>
        <v>0.89911727616646753</v>
      </c>
      <c r="Q28" s="173">
        <f t="shared" si="3"/>
        <v>0.89911727616646753</v>
      </c>
      <c r="R28" s="174">
        <f t="shared" si="4"/>
        <v>7.9999999999991189</v>
      </c>
      <c r="S28" s="175">
        <f>IFERROR(VLOOKUP(D28,'Data Feed'!$A$3:$I$30,9,FALSE),"")</f>
        <v>1.0816699999999999</v>
      </c>
      <c r="T28" s="176"/>
      <c r="U28" s="177">
        <f>IFERROR(VLOOKUP(D28,'Data Feed'!A:I,2,FALSE),"")</f>
        <v>43983.631249999999</v>
      </c>
      <c r="V28" s="219">
        <f t="shared" si="5"/>
        <v>1.08087</v>
      </c>
      <c r="W28" s="298"/>
      <c r="X28" s="198"/>
    </row>
    <row r="29" spans="1:24" ht="16.5" customHeight="1" x14ac:dyDescent="0.3">
      <c r="A29" s="197"/>
      <c r="B29" s="298"/>
      <c r="C29" s="301">
        <v>26</v>
      </c>
      <c r="D29" s="161" t="s">
        <v>13</v>
      </c>
      <c r="F29" s="162">
        <f>IFERROR(VLOOKUP(D29,'Data Feed'!$A$3:$F$30,3,FALSE),"")</f>
        <v>0.85472000000000004</v>
      </c>
      <c r="G29" s="163"/>
      <c r="H29" s="164">
        <f>IFERROR(VLOOKUP(D29,'Data Feed'!$A$3:$F$30,5,FALSE),"")</f>
        <v>0.70000000000014495</v>
      </c>
      <c r="I29" s="165">
        <f>IFERROR(VLOOKUP(D29,'Data Feed'!$A$3:$F$30,4,FALSE),"")</f>
        <v>0.85479000000000005</v>
      </c>
      <c r="J29" s="166"/>
      <c r="K29" s="167">
        <f>IFERROR(VLOOKUP(D29,'Data Feed'!$A$3:$I$30,8,FALSE),"")</f>
        <v>0.85202</v>
      </c>
      <c r="L29" s="168">
        <f t="shared" si="0"/>
        <v>27.350000000000428</v>
      </c>
      <c r="M29" s="169">
        <f t="shared" si="1"/>
        <v>0.47302504816955138</v>
      </c>
      <c r="N29" s="170" t="str">
        <f t="shared" si="6"/>
        <v/>
      </c>
      <c r="O29" s="171">
        <f t="shared" si="2"/>
        <v>51.900000000000276</v>
      </c>
      <c r="P29" s="172">
        <f t="shared" si="7"/>
        <v>0.52697495183044862</v>
      </c>
      <c r="Q29" s="173">
        <f t="shared" si="3"/>
        <v>0.52697495183044862</v>
      </c>
      <c r="R29" s="174">
        <f t="shared" si="4"/>
        <v>24.549999999999848</v>
      </c>
      <c r="S29" s="175">
        <f>IFERROR(VLOOKUP(D29,'Data Feed'!$A$3:$I$30,9,FALSE),"")</f>
        <v>0.85721000000000003</v>
      </c>
      <c r="T29" s="176"/>
      <c r="U29" s="177">
        <f>IFERROR(VLOOKUP(D29,'Data Feed'!A:I,2,FALSE),"")</f>
        <v>43983.631249999999</v>
      </c>
      <c r="V29" s="219">
        <f t="shared" si="5"/>
        <v>0.85475500000000004</v>
      </c>
      <c r="W29" s="298"/>
      <c r="X29" s="198"/>
    </row>
    <row r="30" spans="1:24" ht="16.5" customHeight="1" x14ac:dyDescent="0.3">
      <c r="A30" s="197"/>
      <c r="B30" s="298"/>
      <c r="C30" s="301">
        <v>27</v>
      </c>
      <c r="D30" s="161" t="s">
        <v>28</v>
      </c>
      <c r="F30" s="162">
        <f>IFERROR(VLOOKUP(D30,'Data Feed'!$A$3:$F$30,3,FALSE),"")</f>
        <v>0.59953000000000001</v>
      </c>
      <c r="G30" s="163"/>
      <c r="H30" s="164">
        <f>IFERROR(VLOOKUP(D30,'Data Feed'!$A$3:$F$30,5,FALSE),"")</f>
        <v>0.40000000000040004</v>
      </c>
      <c r="I30" s="165">
        <f>IFERROR(VLOOKUP(D30,'Data Feed'!$A$3:$F$30,4,FALSE),"")</f>
        <v>0.59957000000000005</v>
      </c>
      <c r="J30" s="166"/>
      <c r="K30" s="167">
        <f>IFERROR(VLOOKUP(D30,'Data Feed'!$A$3:$I$30,8,FALSE),"")</f>
        <v>0.59450000000000003</v>
      </c>
      <c r="L30" s="168">
        <f t="shared" si="0"/>
        <v>50.499999999999986</v>
      </c>
      <c r="M30" s="169">
        <f t="shared" si="1"/>
        <v>0.20970266040688679</v>
      </c>
      <c r="N30" s="170" t="str">
        <f t="shared" si="6"/>
        <v/>
      </c>
      <c r="O30" s="171">
        <f t="shared" si="2"/>
        <v>63.90000000000007</v>
      </c>
      <c r="P30" s="172">
        <f t="shared" si="7"/>
        <v>0.79029733959311321</v>
      </c>
      <c r="Q30" s="173">
        <f t="shared" si="3"/>
        <v>0.79029733959311321</v>
      </c>
      <c r="R30" s="174">
        <f t="shared" si="4"/>
        <v>13.400000000000079</v>
      </c>
      <c r="S30" s="175">
        <f>IFERROR(VLOOKUP(D30,'Data Feed'!$A$3:$I$30,9,FALSE),"")</f>
        <v>0.60089000000000004</v>
      </c>
      <c r="T30" s="176"/>
      <c r="U30" s="177">
        <f>IFERROR(VLOOKUP(D30,'Data Feed'!A:I,2,FALSE),"")</f>
        <v>43983.631249999999</v>
      </c>
      <c r="V30" s="219">
        <f t="shared" si="5"/>
        <v>0.59955000000000003</v>
      </c>
      <c r="W30" s="298"/>
      <c r="X30" s="198"/>
    </row>
    <row r="31" spans="1:24" ht="16.5" customHeight="1" x14ac:dyDescent="0.3">
      <c r="A31" s="197"/>
      <c r="B31" s="299"/>
      <c r="C31" s="302">
        <v>28</v>
      </c>
      <c r="D31" s="220" t="s">
        <v>31</v>
      </c>
      <c r="E31" s="220"/>
      <c r="F31" s="221">
        <f>IFERROR(VLOOKUP(D31,'Data Feed'!$A$3:$F$30,3,FALSE),"")</f>
        <v>0.70142000000000004</v>
      </c>
      <c r="G31" s="222"/>
      <c r="H31" s="223">
        <f>IFERROR(VLOOKUP(D31,'Data Feed'!$A$3:$F$30,5,FALSE),"")</f>
        <v>0.29999999999974492</v>
      </c>
      <c r="I31" s="224">
        <f>IFERROR(VLOOKUP(D31,'Data Feed'!$A$3:$F$30,4,FALSE),"")</f>
        <v>0.70145000000000002</v>
      </c>
      <c r="J31" s="225"/>
      <c r="K31" s="226">
        <f>IFERROR(VLOOKUP(D31,'Data Feed'!$A$3:$I$30,8,FALSE),"")</f>
        <v>0.69642999999999999</v>
      </c>
      <c r="L31" s="227">
        <f t="shared" si="0"/>
        <v>50.050000000000374</v>
      </c>
      <c r="M31" s="228">
        <f t="shared" si="1"/>
        <v>8.5009140767813407E-2</v>
      </c>
      <c r="N31" s="229" t="str">
        <f t="shared" si="6"/>
        <v/>
      </c>
      <c r="O31" s="230">
        <f t="shared" si="2"/>
        <v>54.699999999999747</v>
      </c>
      <c r="P31" s="231">
        <f t="shared" si="7"/>
        <v>0.91499085923218648</v>
      </c>
      <c r="Q31" s="232">
        <f t="shared" si="3"/>
        <v>0.91499085923218648</v>
      </c>
      <c r="R31" s="233">
        <f t="shared" si="4"/>
        <v>4.6499999999993769</v>
      </c>
      <c r="S31" s="234">
        <f>IFERROR(VLOOKUP(D31,'Data Feed'!$A$3:$I$30,9,FALSE),"")</f>
        <v>0.70189999999999997</v>
      </c>
      <c r="T31" s="235"/>
      <c r="U31" s="236">
        <f>IFERROR(VLOOKUP(D31,'Data Feed'!A:I,2,FALSE),"")</f>
        <v>43983.631249999999</v>
      </c>
      <c r="V31" s="237">
        <f t="shared" si="5"/>
        <v>0.70143500000000003</v>
      </c>
      <c r="W31" s="299"/>
      <c r="X31" s="198"/>
    </row>
    <row r="32" spans="1:24" ht="16.5" customHeight="1" x14ac:dyDescent="0.3">
      <c r="B32" s="242"/>
      <c r="C32" s="199"/>
      <c r="D32" s="243"/>
      <c r="E32" s="243"/>
      <c r="F32" s="244"/>
      <c r="G32" s="262"/>
      <c r="H32" s="263"/>
      <c r="I32" s="264"/>
      <c r="J32" s="200"/>
      <c r="K32" s="245"/>
      <c r="L32" s="246"/>
      <c r="M32" s="247"/>
      <c r="N32" s="247"/>
      <c r="O32" s="200"/>
      <c r="P32" s="248"/>
      <c r="Q32" s="248"/>
      <c r="R32" s="249"/>
      <c r="S32" s="250"/>
      <c r="T32" s="242"/>
      <c r="U32" s="251"/>
      <c r="V32" s="242"/>
      <c r="W32" s="242"/>
    </row>
    <row r="33" spans="4:21" ht="16.5" customHeight="1" x14ac:dyDescent="0.3">
      <c r="D33" s="182"/>
      <c r="E33" s="182"/>
      <c r="F33" s="260"/>
      <c r="G33" s="265"/>
      <c r="H33" s="266" t="s">
        <v>46</v>
      </c>
      <c r="I33" s="267" t="s">
        <v>47</v>
      </c>
      <c r="J33" s="261"/>
      <c r="K33" s="183"/>
      <c r="L33" s="184"/>
      <c r="M33" s="185"/>
      <c r="N33" s="185"/>
    </row>
    <row r="34" spans="4:21" ht="16.5" customHeight="1" x14ac:dyDescent="0.3">
      <c r="D34" s="182"/>
      <c r="E34" s="182"/>
      <c r="F34" s="260"/>
      <c r="G34" s="268" t="s">
        <v>35</v>
      </c>
      <c r="H34" s="191">
        <f>MIN(H4:H31)</f>
        <v>0</v>
      </c>
      <c r="I34" s="269">
        <v>1.9</v>
      </c>
      <c r="J34" s="261"/>
      <c r="L34" s="184"/>
      <c r="M34" s="185"/>
      <c r="N34" s="185"/>
      <c r="R34" s="192"/>
      <c r="S34" s="192"/>
    </row>
    <row r="35" spans="4:21" ht="16.5" customHeight="1" x14ac:dyDescent="0.3">
      <c r="D35" s="182"/>
      <c r="E35" s="182"/>
      <c r="F35" s="260"/>
      <c r="G35" s="270" t="s">
        <v>36</v>
      </c>
      <c r="H35" s="271">
        <f>MAX(H4:H31)</f>
        <v>1.100000000000545</v>
      </c>
      <c r="I35" s="272">
        <v>3</v>
      </c>
      <c r="J35" s="261"/>
      <c r="K35" s="183"/>
      <c r="L35" s="184"/>
      <c r="M35" s="185"/>
      <c r="N35" s="185"/>
      <c r="Q35" s="161"/>
      <c r="R35" s="192"/>
      <c r="S35" s="192"/>
    </row>
    <row r="36" spans="4:21" ht="16.5" customHeight="1" x14ac:dyDescent="0.3">
      <c r="D36" s="188"/>
      <c r="E36" s="188"/>
      <c r="G36" s="242"/>
      <c r="H36" s="199"/>
      <c r="I36" s="250"/>
      <c r="P36" s="161"/>
      <c r="Q36" s="161"/>
    </row>
    <row r="37" spans="4:21" ht="16.5" customHeight="1" x14ac:dyDescent="0.3">
      <c r="D37" s="188"/>
      <c r="E37" s="188"/>
      <c r="P37" s="161"/>
      <c r="Q37" s="161"/>
    </row>
    <row r="38" spans="4:21" ht="16.5" customHeight="1" x14ac:dyDescent="0.3">
      <c r="D38" s="188"/>
      <c r="E38" s="188"/>
      <c r="H38" s="194"/>
      <c r="U38" s="195"/>
    </row>
    <row r="39" spans="4:21" ht="16.5" customHeight="1" x14ac:dyDescent="0.3">
      <c r="U39" s="189"/>
    </row>
    <row r="40" spans="4:21" ht="16.5" customHeight="1" x14ac:dyDescent="0.3">
      <c r="U40" s="196"/>
    </row>
    <row r="41" spans="4:21" ht="16.5" customHeight="1" x14ac:dyDescent="0.3">
      <c r="U41" s="196"/>
    </row>
    <row r="42" spans="4:21" ht="16.5" customHeight="1" x14ac:dyDescent="0.3">
      <c r="U42" s="196"/>
    </row>
    <row r="43" spans="4:21" ht="16.5" customHeight="1" x14ac:dyDescent="0.3">
      <c r="U43" s="196"/>
    </row>
    <row r="44" spans="4:21" ht="16.5" customHeight="1" x14ac:dyDescent="0.3">
      <c r="U44" s="196"/>
    </row>
    <row r="45" spans="4:21" ht="16.5" customHeight="1" x14ac:dyDescent="0.3">
      <c r="U45" s="196"/>
    </row>
    <row r="46" spans="4:21" ht="16.5" customHeight="1" x14ac:dyDescent="0.3">
      <c r="U46" s="196"/>
    </row>
    <row r="47" spans="4:21" ht="16.5" customHeight="1" x14ac:dyDescent="0.3">
      <c r="U47" s="196"/>
    </row>
    <row r="48" spans="4:21" ht="16.5" customHeight="1" x14ac:dyDescent="0.3">
      <c r="U48" s="196"/>
    </row>
    <row r="49" spans="8:21" ht="16.5" customHeight="1" x14ac:dyDescent="0.3">
      <c r="U49" s="196"/>
    </row>
    <row r="50" spans="8:21" ht="16.5" customHeight="1" x14ac:dyDescent="0.3">
      <c r="U50" s="196"/>
    </row>
    <row r="51" spans="8:21" ht="16.5" customHeight="1" x14ac:dyDescent="0.3">
      <c r="U51" s="196"/>
    </row>
    <row r="52" spans="8:21" ht="16.5" customHeight="1" x14ac:dyDescent="0.3">
      <c r="U52" s="196"/>
    </row>
    <row r="53" spans="8:21" ht="16.5" customHeight="1" x14ac:dyDescent="0.3">
      <c r="U53" s="196"/>
    </row>
    <row r="54" spans="8:21" ht="16.5" customHeight="1" x14ac:dyDescent="0.3">
      <c r="U54" s="196"/>
    </row>
    <row r="55" spans="8:21" ht="16.5" customHeight="1" x14ac:dyDescent="0.3">
      <c r="U55" s="196"/>
    </row>
    <row r="56" spans="8:21" ht="16.5" customHeight="1" x14ac:dyDescent="0.3">
      <c r="U56" s="196"/>
    </row>
    <row r="57" spans="8:21" ht="16.5" customHeight="1" x14ac:dyDescent="0.3">
      <c r="H57" s="181"/>
      <c r="U57" s="196"/>
    </row>
  </sheetData>
  <mergeCells count="21">
    <mergeCell ref="B1:W2"/>
    <mergeCell ref="W4:W10"/>
    <mergeCell ref="W11:W15"/>
    <mergeCell ref="W16:W19"/>
    <mergeCell ref="W20:W25"/>
    <mergeCell ref="W26:W31"/>
    <mergeCell ref="R34:S35"/>
    <mergeCell ref="L3:N3"/>
    <mergeCell ref="P3:R3"/>
    <mergeCell ref="G3:H3"/>
    <mergeCell ref="B3:D3"/>
    <mergeCell ref="B4:B10"/>
    <mergeCell ref="G4:G10"/>
    <mergeCell ref="B26:B31"/>
    <mergeCell ref="G26:G31"/>
    <mergeCell ref="B11:B15"/>
    <mergeCell ref="G11:G15"/>
    <mergeCell ref="B16:B19"/>
    <mergeCell ref="G16:G19"/>
    <mergeCell ref="B20:B25"/>
    <mergeCell ref="G20:G25"/>
  </mergeCells>
  <conditionalFormatting sqref="P4:P31">
    <cfRule type="dataBar" priority="21">
      <dataBar showValue="0">
        <cfvo type="num" val="0.5"/>
        <cfvo type="num" val="1"/>
        <color rgb="FF63C384"/>
      </dataBar>
      <extLst>
        <ext xmlns:x14="http://schemas.microsoft.com/office/spreadsheetml/2009/9/main" uri="{B025F937-C7B1-47D3-B67F-A62EFF666E3E}">
          <x14:id>{68888548-E113-4874-A63A-3DA57B53990D}</x14:id>
        </ext>
      </extLst>
    </cfRule>
  </conditionalFormatting>
  <conditionalFormatting sqref="N4:N31">
    <cfRule type="dataBar" priority="20">
      <dataBar showValue="0">
        <cfvo type="num" val="-1"/>
        <cfvo type="num" val="-0.5"/>
        <color rgb="FF63C384"/>
      </dataBar>
      <extLst>
        <ext xmlns:x14="http://schemas.microsoft.com/office/spreadsheetml/2009/9/main" uri="{B025F937-C7B1-47D3-B67F-A62EFF666E3E}">
          <x14:id>{79ED77C3-88DB-41AF-9899-A3F886FE0FDB}</x14:id>
        </ext>
      </extLst>
    </cfRule>
  </conditionalFormatting>
  <conditionalFormatting sqref="H4:H31">
    <cfRule type="top10" dxfId="13" priority="13" bottom="1" rank="2"/>
    <cfRule type="cellIs" dxfId="12" priority="120" operator="greaterThan">
      <formula>$I$35</formula>
    </cfRule>
    <cfRule type="cellIs" dxfId="11" priority="121" operator="lessThan">
      <formula>$I$34</formula>
    </cfRule>
  </conditionalFormatting>
  <conditionalFormatting sqref="G33">
    <cfRule type="containsText" dxfId="10" priority="16" operator="containsText" text="Pair Specs">
      <formula>NOT(ISERROR(SEARCH("Pair Specs",G33)))</formula>
    </cfRule>
    <cfRule type="containsText" dxfId="9" priority="17" operator="containsText" text="DDE">
      <formula>NOT(ISERROR(SEARCH("DDE",G33)))</formula>
    </cfRule>
  </conditionalFormatting>
  <conditionalFormatting sqref="G4:G31">
    <cfRule type="top10" dxfId="8" priority="14" rank="1"/>
    <cfRule type="top10" dxfId="7" priority="15" bottom="1" rank="1"/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888548-E113-4874-A63A-3DA57B53990D}">
            <x14:dataBar minLength="0" maxLength="100" gradient="0">
              <x14:cfvo type="num">
                <xm:f>0.5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P4:P31</xm:sqref>
        </x14:conditionalFormatting>
        <x14:conditionalFormatting xmlns:xm="http://schemas.microsoft.com/office/excel/2006/main">
          <x14:cfRule type="dataBar" id="{79ED77C3-88DB-41AF-9899-A3F886FE0FDB}">
            <x14:dataBar minLength="0" maxLength="100" gradient="0">
              <x14:cfvo type="num">
                <xm:f>-1</xm:f>
              </x14:cfvo>
              <x14:cfvo type="num">
                <xm:f>-0.5</xm:f>
              </x14:cfvo>
              <x14:negativeFillColor rgb="FFFF0000"/>
              <x14:axisColor rgb="FF000000"/>
            </x14:dataBar>
          </x14:cfRule>
          <xm:sqref>N4:N31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9"/>
  <sheetViews>
    <sheetView workbookViewId="0">
      <selection activeCell="B34" sqref="B34"/>
    </sheetView>
  </sheetViews>
  <sheetFormatPr defaultRowHeight="16.5" customHeight="1" x14ac:dyDescent="0.3"/>
  <cols>
    <col min="1" max="1" width="16.44140625" style="32" customWidth="1"/>
    <col min="2" max="2" width="18.6640625" style="34" customWidth="1"/>
    <col min="3" max="6" width="16.44140625" style="35" customWidth="1"/>
    <col min="7" max="7" width="48" style="126" customWidth="1"/>
    <col min="8" max="16384" width="8.88671875" style="32"/>
  </cols>
  <sheetData>
    <row r="1" spans="1:7" ht="16.5" customHeight="1" x14ac:dyDescent="0.3">
      <c r="A1" s="112" t="s">
        <v>37</v>
      </c>
      <c r="B1" s="110" t="s">
        <v>89</v>
      </c>
      <c r="C1" s="118" t="s">
        <v>38</v>
      </c>
      <c r="D1" s="118" t="s">
        <v>39</v>
      </c>
      <c r="E1" s="118" t="s">
        <v>5</v>
      </c>
      <c r="F1" s="118" t="s">
        <v>4</v>
      </c>
      <c r="G1" s="118" t="s">
        <v>96</v>
      </c>
    </row>
    <row r="2" spans="1:7" ht="16.5" customHeight="1" x14ac:dyDescent="0.3">
      <c r="A2" s="119" t="s">
        <v>16</v>
      </c>
      <c r="B2" s="120">
        <f>[2]!AUDCAD</f>
        <v>43983.631249999999</v>
      </c>
      <c r="C2" s="121">
        <f>[3]!AUDCAD</f>
        <v>0.92381999999999997</v>
      </c>
      <c r="D2" s="121">
        <f>[4]!AUDCAD</f>
        <v>0.92386000000000001</v>
      </c>
      <c r="E2" s="121">
        <f>[5]!AUDCAD</f>
        <v>0.91624000000000005</v>
      </c>
      <c r="F2" s="121">
        <f>[6]!AUDCAD</f>
        <v>0.92623</v>
      </c>
      <c r="G2" s="128" t="str">
        <f>[7]!AUDCAD</f>
        <v>2020/06/01 15:09:35 0.92382 0.92386</v>
      </c>
    </row>
    <row r="3" spans="1:7" ht="16.5" customHeight="1" x14ac:dyDescent="0.3">
      <c r="A3" s="119" t="s">
        <v>32</v>
      </c>
      <c r="B3" s="120">
        <f>[2]!AUDCHF</f>
        <v>43983.631249999999</v>
      </c>
      <c r="C3" s="121">
        <f>[3]!AUDCHF</f>
        <v>0.64800000000000002</v>
      </c>
      <c r="D3" s="121">
        <f>[4]!AUDCHF</f>
        <v>0.64802999999999999</v>
      </c>
      <c r="E3" s="121">
        <f>[5]!AUDCHF</f>
        <v>0.63902000000000003</v>
      </c>
      <c r="F3" s="121">
        <f>[6]!AUDCHF</f>
        <v>0.64981999999999995</v>
      </c>
      <c r="G3" s="128" t="str">
        <f>[7]!AUDCHF</f>
        <v>2020/06/01 15:09:35 0.64800 0.64803</v>
      </c>
    </row>
    <row r="4" spans="1:7" ht="16.5" customHeight="1" x14ac:dyDescent="0.3">
      <c r="A4" s="119" t="s">
        <v>23</v>
      </c>
      <c r="B4" s="120">
        <f>[2]!AUDJPY</f>
        <v>43983.631249999999</v>
      </c>
      <c r="C4" s="121">
        <f>[3]!AUDJPY</f>
        <v>72.616</v>
      </c>
      <c r="D4" s="121">
        <f>[4]!AUDJPY</f>
        <v>72.619</v>
      </c>
      <c r="E4" s="121">
        <f>[5]!AUDJPY</f>
        <v>71.603999999999999</v>
      </c>
      <c r="F4" s="121">
        <f>[6]!AUDJPY</f>
        <v>72.825000000000003</v>
      </c>
      <c r="G4" s="128" t="str">
        <f>[7]!AUDJPY</f>
        <v>2020/06/01 15:09:35 72.616 72.619</v>
      </c>
    </row>
    <row r="5" spans="1:7" ht="16.5" customHeight="1" x14ac:dyDescent="0.3">
      <c r="A5" s="119" t="s">
        <v>9</v>
      </c>
      <c r="B5" s="120">
        <f>[2]!AUDNZD</f>
        <v>43983.631249999999</v>
      </c>
      <c r="C5" s="121">
        <f>[3]!AUDNZD</f>
        <v>1.08084</v>
      </c>
      <c r="D5" s="121">
        <f>[4]!AUDNZD</f>
        <v>1.0809</v>
      </c>
      <c r="E5" s="121">
        <f>[5]!AUDNZD</f>
        <v>1.0737399999999999</v>
      </c>
      <c r="F5" s="121">
        <f>[6]!AUDNZD</f>
        <v>1.0816699999999999</v>
      </c>
      <c r="G5" s="128" t="str">
        <f>[7]!AUDNZD</f>
        <v>2020/06/01 15:09:31 1.08084 1.08090</v>
      </c>
    </row>
    <row r="6" spans="1:7" ht="16.5" customHeight="1" x14ac:dyDescent="0.3">
      <c r="A6" s="119" t="s">
        <v>26</v>
      </c>
      <c r="B6" s="120">
        <f>[2]!AUDUSD</f>
        <v>43983.631249999999</v>
      </c>
      <c r="C6" s="121">
        <f>[3]!AUDUSD</f>
        <v>0.67406999999999995</v>
      </c>
      <c r="D6" s="121">
        <f>[4]!AUDUSD</f>
        <v>0.67410000000000003</v>
      </c>
      <c r="E6" s="121">
        <f>[5]!AUDUSD</f>
        <v>0.66478999999999999</v>
      </c>
      <c r="F6" s="121">
        <f>[6]!AUDUSD</f>
        <v>0.67723999999999995</v>
      </c>
      <c r="G6" s="128" t="str">
        <f>[7]!AUDUSD</f>
        <v>2020/06/01 15:09:34 0.67407 0.67410</v>
      </c>
    </row>
    <row r="7" spans="1:7" ht="16.5" customHeight="1" x14ac:dyDescent="0.3">
      <c r="A7" s="119" t="s">
        <v>31</v>
      </c>
      <c r="B7" s="120">
        <f>[2]!CADCHF</f>
        <v>43983.631249999999</v>
      </c>
      <c r="C7" s="121">
        <f>[3]!CADCHF</f>
        <v>0.70142000000000004</v>
      </c>
      <c r="D7" s="121">
        <f>[4]!CADCHF</f>
        <v>0.70145000000000002</v>
      </c>
      <c r="E7" s="121">
        <f>[5]!CADCHF</f>
        <v>0.69642999999999999</v>
      </c>
      <c r="F7" s="121">
        <f>[6]!CADCHF</f>
        <v>0.70189999999999997</v>
      </c>
      <c r="G7" s="128" t="str">
        <f>[7]!CADCHF</f>
        <v>2020/06/01 15:09:35 0.70142 0.70145</v>
      </c>
    </row>
    <row r="8" spans="1:7" ht="16.5" customHeight="1" x14ac:dyDescent="0.3">
      <c r="A8" s="119" t="s">
        <v>22</v>
      </c>
      <c r="B8" s="120">
        <f>[2]!CADJPY</f>
        <v>43983.631249999999</v>
      </c>
      <c r="C8" s="121">
        <f>[3]!CADJPY</f>
        <v>78.603999999999999</v>
      </c>
      <c r="D8" s="121">
        <f>[4]!CADJPY</f>
        <v>78.605999999999995</v>
      </c>
      <c r="E8" s="121">
        <f>[5]!CADJPY</f>
        <v>78.040000000000006</v>
      </c>
      <c r="F8" s="121">
        <f>[6]!CADJPY</f>
        <v>78.647000000000006</v>
      </c>
      <c r="G8" s="128" t="str">
        <f>[7]!CADJPY</f>
        <v>2020/06/01 15:09:31 78.604 78.606</v>
      </c>
    </row>
    <row r="9" spans="1:7" ht="16.5" customHeight="1" x14ac:dyDescent="0.3">
      <c r="A9" s="119" t="s">
        <v>21</v>
      </c>
      <c r="B9" s="120">
        <f>[2]!CHFJPY</f>
        <v>43983.631249999999</v>
      </c>
      <c r="C9" s="121">
        <f>[3]!CHFJPY</f>
        <v>112.059</v>
      </c>
      <c r="D9" s="121">
        <f>[4]!CHFJPY</f>
        <v>112.063</v>
      </c>
      <c r="E9" s="121">
        <f>[5]!CHFJPY</f>
        <v>111.761</v>
      </c>
      <c r="F9" s="121">
        <f>[6]!CHFJPY</f>
        <v>112.307</v>
      </c>
      <c r="G9" s="128" t="str">
        <f>[7]!CHFJPY</f>
        <v>2020/06/01 15:09:35 112.059 112.063</v>
      </c>
    </row>
    <row r="10" spans="1:7" ht="16.5" customHeight="1" x14ac:dyDescent="0.3">
      <c r="A10" s="119" t="s">
        <v>11</v>
      </c>
      <c r="B10" s="120">
        <f>[2]!EURAUD</f>
        <v>43983.631249999999</v>
      </c>
      <c r="C10" s="121">
        <f>[3]!EURAUD</f>
        <v>1.649</v>
      </c>
      <c r="D10" s="121">
        <f>[4]!EURAUD</f>
        <v>1.6490199999999999</v>
      </c>
      <c r="E10" s="121">
        <f>[5]!EURAUD</f>
        <v>1.6463099999999999</v>
      </c>
      <c r="F10" s="121">
        <f>[6]!EURAUD</f>
        <v>1.6706799999999999</v>
      </c>
      <c r="G10" s="128" t="str">
        <f>[7]!EURAUD</f>
        <v>2020/06/01 15:09:34 1.64900 1.64902</v>
      </c>
    </row>
    <row r="11" spans="1:7" ht="16.5" customHeight="1" x14ac:dyDescent="0.3">
      <c r="A11" s="119" t="s">
        <v>15</v>
      </c>
      <c r="B11" s="120">
        <f>[2]!EURCAD</f>
        <v>43983.631249999999</v>
      </c>
      <c r="C11" s="121">
        <f>[3]!EURCAD</f>
        <v>1.5234099999999999</v>
      </c>
      <c r="D11" s="121">
        <f>[4]!EURCAD</f>
        <v>1.52345</v>
      </c>
      <c r="E11" s="121">
        <f>[5]!EURCAD</f>
        <v>1.5228200000000001</v>
      </c>
      <c r="F11" s="121">
        <f>[6]!EURCAD</f>
        <v>1.5325299999999999</v>
      </c>
      <c r="G11" s="128" t="str">
        <f>[7]!EURCAD</f>
        <v>2020/06/01 15:09:32 1.52341 1.52345</v>
      </c>
    </row>
    <row r="12" spans="1:7" ht="16.5" customHeight="1" x14ac:dyDescent="0.3">
      <c r="A12" s="119" t="s">
        <v>30</v>
      </c>
      <c r="B12" s="120">
        <f>[2]!EURCHF</f>
        <v>43983.631249999999</v>
      </c>
      <c r="C12" s="121">
        <f>[3]!EURCHF</f>
        <v>1.06857</v>
      </c>
      <c r="D12" s="121">
        <f>[4]!EURCHF</f>
        <v>1.0686</v>
      </c>
      <c r="E12" s="121">
        <f>[5]!EURCHF</f>
        <v>1.0668800000000001</v>
      </c>
      <c r="F12" s="121">
        <f>[6]!EURCHF</f>
        <v>1.0706599999999999</v>
      </c>
      <c r="G12" s="128" t="str">
        <f>[7]!EURCHF</f>
        <v>2020/06/01 15:09:32 1.06857 1.06860</v>
      </c>
    </row>
    <row r="13" spans="1:7" ht="16.5" customHeight="1" x14ac:dyDescent="0.3">
      <c r="A13" s="119" t="s">
        <v>33</v>
      </c>
      <c r="B13" s="120">
        <f>[2]!EURGBP</f>
        <v>43983.631249999999</v>
      </c>
      <c r="C13" s="121">
        <f>[3]!EURGBP</f>
        <v>0.89686999999999995</v>
      </c>
      <c r="D13" s="121">
        <f>[4]!EURGBP</f>
        <v>0.89688999999999997</v>
      </c>
      <c r="E13" s="121">
        <f>[5]!EURGBP</f>
        <v>0.89629000000000003</v>
      </c>
      <c r="F13" s="121">
        <f>[6]!EURGBP</f>
        <v>0.90161999999999998</v>
      </c>
      <c r="G13" s="128" t="str">
        <f>[7]!EURGBP</f>
        <v>2020/06/01 15:09:34 0.89687 0.89689</v>
      </c>
    </row>
    <row r="14" spans="1:7" ht="16.5" customHeight="1" x14ac:dyDescent="0.3">
      <c r="A14" s="119" t="s">
        <v>20</v>
      </c>
      <c r="B14" s="120">
        <f>[2]!EURJPY</f>
        <v>43983.631249999999</v>
      </c>
      <c r="C14" s="121">
        <f>[3]!EURJPY</f>
        <v>119.748</v>
      </c>
      <c r="D14" s="121">
        <f>[4]!EURJPY</f>
        <v>119.749</v>
      </c>
      <c r="E14" s="121">
        <f>[5]!EURJPY</f>
        <v>119.425</v>
      </c>
      <c r="F14" s="121">
        <f>[6]!EURJPY</f>
        <v>119.976</v>
      </c>
      <c r="G14" s="128" t="str">
        <f>[7]!EURJPY</f>
        <v>2020/06/01 15:09:33 119.748 119.749</v>
      </c>
    </row>
    <row r="15" spans="1:7" ht="16.5" customHeight="1" x14ac:dyDescent="0.3">
      <c r="A15" s="119" t="s">
        <v>8</v>
      </c>
      <c r="B15" s="120">
        <f>[2]!EURNZD</f>
        <v>43983.631249999999</v>
      </c>
      <c r="C15" s="121">
        <f>[3]!EURNZD</f>
        <v>1.78226</v>
      </c>
      <c r="D15" s="121">
        <f>[4]!EURNZD</f>
        <v>1.78237</v>
      </c>
      <c r="E15" s="121">
        <f>[5]!EURNZD</f>
        <v>1.7796000000000001</v>
      </c>
      <c r="F15" s="121">
        <f>[6]!EURNZD</f>
        <v>1.7956000000000001</v>
      </c>
      <c r="G15" s="128" t="str">
        <f>[7]!EURNZD</f>
        <v>2020/06/01 15:09:34 1.78226 1.78237</v>
      </c>
    </row>
    <row r="16" spans="1:7" ht="16.5" customHeight="1" x14ac:dyDescent="0.3">
      <c r="A16" s="119" t="s">
        <v>6</v>
      </c>
      <c r="B16" s="120">
        <f>[2]!EURUSD</f>
        <v>43983.631249999999</v>
      </c>
      <c r="C16" s="121">
        <f>[3]!EURUSD</f>
        <v>1.11158</v>
      </c>
      <c r="D16" s="121">
        <f>[4]!EURUSD</f>
        <v>1.11158</v>
      </c>
      <c r="E16" s="121">
        <f>[5]!EURUSD</f>
        <v>1.11005</v>
      </c>
      <c r="F16" s="121">
        <f>[6]!EURUSD</f>
        <v>1.11538</v>
      </c>
      <c r="G16" s="128" t="str">
        <f>[7]!EURUSD</f>
        <v>2020/06/01 15:09:32 1.11158 1.11158</v>
      </c>
    </row>
    <row r="17" spans="1:7" ht="16.5" customHeight="1" x14ac:dyDescent="0.3">
      <c r="A17" s="119" t="s">
        <v>10</v>
      </c>
      <c r="B17" s="120">
        <f>[2]!GBPAUD</f>
        <v>43983.631249999999</v>
      </c>
      <c r="C17" s="121">
        <f>[3]!GBPAUD</f>
        <v>1.8386100000000001</v>
      </c>
      <c r="D17" s="121">
        <f>[4]!GBPAUD</f>
        <v>1.83866</v>
      </c>
      <c r="E17" s="121">
        <f>[5]!GBPAUD</f>
        <v>1.83433</v>
      </c>
      <c r="F17" s="121">
        <f>[6]!GBPAUD</f>
        <v>1.8552</v>
      </c>
      <c r="G17" s="128" t="str">
        <f>[7]!GBPAUD</f>
        <v>2020/06/01 15:09:35 1.83861 1.83866</v>
      </c>
    </row>
    <row r="18" spans="1:7" ht="16.5" customHeight="1" x14ac:dyDescent="0.3">
      <c r="A18" s="119" t="s">
        <v>14</v>
      </c>
      <c r="B18" s="120">
        <f>[2]!GBPCAD</f>
        <v>43983.631249999999</v>
      </c>
      <c r="C18" s="121">
        <f>[3]!GBPCAD</f>
        <v>1.6986000000000001</v>
      </c>
      <c r="D18" s="121">
        <f>[4]!GBPCAD</f>
        <v>1.6986399999999999</v>
      </c>
      <c r="E18" s="121">
        <f>[5]!GBPCAD</f>
        <v>1.6971799999999999</v>
      </c>
      <c r="F18" s="121">
        <f>[6]!GBPCAD</f>
        <v>1.70305</v>
      </c>
      <c r="G18" s="128" t="str">
        <f>[7]!GBPCAD</f>
        <v>2020/06/01 15:09:35 1.69860 1.69864</v>
      </c>
    </row>
    <row r="19" spans="1:7" ht="16.5" customHeight="1" x14ac:dyDescent="0.3">
      <c r="A19" s="119" t="s">
        <v>29</v>
      </c>
      <c r="B19" s="120">
        <f>[2]!GBPCHF</f>
        <v>43983.631249999999</v>
      </c>
      <c r="C19" s="121">
        <f>[3]!GBPCHF</f>
        <v>1.1914400000000001</v>
      </c>
      <c r="D19" s="121">
        <f>[4]!GBPCHF</f>
        <v>1.1915</v>
      </c>
      <c r="E19" s="121">
        <f>[5]!GBPCHF</f>
        <v>1.1838599999999999</v>
      </c>
      <c r="F19" s="121">
        <f>[6]!GBPCHF</f>
        <v>1.1924300000000001</v>
      </c>
      <c r="G19" s="128" t="str">
        <f>[7]!GBPCHF</f>
        <v>2020/06/01 15:09:35 1.19144 1.19150</v>
      </c>
    </row>
    <row r="20" spans="1:7" ht="16.5" customHeight="1" x14ac:dyDescent="0.3">
      <c r="A20" s="119" t="s">
        <v>19</v>
      </c>
      <c r="B20" s="120">
        <f>[2]!GBPJPY</f>
        <v>43983.631249999999</v>
      </c>
      <c r="C20" s="121">
        <f>[3]!GBPJPY</f>
        <v>133.51400000000001</v>
      </c>
      <c r="D20" s="121">
        <f>[4]!GBPJPY</f>
        <v>133.51599999999999</v>
      </c>
      <c r="E20" s="121">
        <f>[5]!GBPJPY</f>
        <v>132.703</v>
      </c>
      <c r="F20" s="121">
        <f>[6]!GBPJPY</f>
        <v>133.66900000000001</v>
      </c>
      <c r="G20" s="128" t="str">
        <f>[7]!GBPJPY</f>
        <v>2020/06/01 15:09:34 133.514 133.516</v>
      </c>
    </row>
    <row r="21" spans="1:7" ht="16.5" customHeight="1" x14ac:dyDescent="0.3">
      <c r="A21" s="119" t="s">
        <v>7</v>
      </c>
      <c r="B21" s="120">
        <f>[2]!GBPNZD</f>
        <v>43983.631249999999</v>
      </c>
      <c r="C21" s="121">
        <f>[3]!GBPNZD</f>
        <v>1.9872300000000001</v>
      </c>
      <c r="D21" s="121">
        <f>[4]!GBPNZD</f>
        <v>1.98733</v>
      </c>
      <c r="E21" s="121">
        <f>[5]!GBPNZD</f>
        <v>1.98247</v>
      </c>
      <c r="F21" s="121">
        <f>[6]!GBPNZD</f>
        <v>1.9933099999999999</v>
      </c>
      <c r="G21" s="128" t="str">
        <f>[7]!GBPNZD</f>
        <v>2020/06/01 15:09:34 1.98723 1.98733</v>
      </c>
    </row>
    <row r="22" spans="1:7" ht="16.5" customHeight="1" x14ac:dyDescent="0.3">
      <c r="A22" s="119" t="s">
        <v>25</v>
      </c>
      <c r="B22" s="120">
        <f>[2]!GBPUSD</f>
        <v>43983.631249999999</v>
      </c>
      <c r="C22" s="121">
        <f>[3]!GBPUSD</f>
        <v>1.2394099999999999</v>
      </c>
      <c r="D22" s="121">
        <f>[4]!GBPUSD</f>
        <v>1.2394099999999999</v>
      </c>
      <c r="E22" s="121">
        <f>[5]!GBPUSD</f>
        <v>1.2323599999999999</v>
      </c>
      <c r="F22" s="121">
        <f>[6]!GBPUSD</f>
        <v>1.24258</v>
      </c>
      <c r="G22" s="128" t="str">
        <f>[7]!GBPUSD</f>
        <v>2020/06/01 15:09:34 1.23941 1.23941</v>
      </c>
    </row>
    <row r="23" spans="1:7" ht="16.5" customHeight="1" x14ac:dyDescent="0.3">
      <c r="A23" s="119" t="s">
        <v>13</v>
      </c>
      <c r="B23" s="120">
        <f>[2]!NZDCAD</f>
        <v>43983.631249999999</v>
      </c>
      <c r="C23" s="121">
        <f>[3]!NZDCAD</f>
        <v>0.85472000000000004</v>
      </c>
      <c r="D23" s="121">
        <f>[4]!NZDCAD</f>
        <v>0.85479000000000005</v>
      </c>
      <c r="E23" s="121">
        <f>[5]!NZDCAD</f>
        <v>0.85202</v>
      </c>
      <c r="F23" s="121">
        <f>[6]!NZDCAD</f>
        <v>0.85721000000000003</v>
      </c>
      <c r="G23" s="128" t="str">
        <f>[7]!NZDCAD</f>
        <v>2020/06/01 15:09:30 0.85472 0.85479</v>
      </c>
    </row>
    <row r="24" spans="1:7" ht="16.5" customHeight="1" x14ac:dyDescent="0.3">
      <c r="A24" s="119" t="s">
        <v>28</v>
      </c>
      <c r="B24" s="120">
        <f>[2]!NZDCHF</f>
        <v>43983.631249999999</v>
      </c>
      <c r="C24" s="121">
        <f>[3]!NZDCHF</f>
        <v>0.59953000000000001</v>
      </c>
      <c r="D24" s="121">
        <f>[4]!NZDCHF</f>
        <v>0.59957000000000005</v>
      </c>
      <c r="E24" s="121">
        <f>[5]!NZDCHF</f>
        <v>0.59450000000000003</v>
      </c>
      <c r="F24" s="121">
        <f>[6]!NZDCHF</f>
        <v>0.60089000000000004</v>
      </c>
      <c r="G24" s="128" t="str">
        <f>[7]!NZDCHF</f>
        <v>2020/06/01 15:09:32 0.59953 0.59957</v>
      </c>
    </row>
    <row r="25" spans="1:7" ht="16.5" customHeight="1" x14ac:dyDescent="0.3">
      <c r="A25" s="119" t="s">
        <v>18</v>
      </c>
      <c r="B25" s="120">
        <f>[2]!NZDJPY</f>
        <v>43983.631249999999</v>
      </c>
      <c r="C25" s="121">
        <f>[3]!NZDJPY</f>
        <v>67.185000000000002</v>
      </c>
      <c r="D25" s="121">
        <f>[4]!NZDJPY</f>
        <v>67.188999999999993</v>
      </c>
      <c r="E25" s="121">
        <f>[5]!NZDJPY</f>
        <v>66.605999999999995</v>
      </c>
      <c r="F25" s="121">
        <f>[6]!NZDJPY</f>
        <v>67.334999999999994</v>
      </c>
      <c r="G25" s="128" t="str">
        <f>[7]!NZDJPY</f>
        <v>2020/06/01 15:09:32 67.185 67.189</v>
      </c>
    </row>
    <row r="26" spans="1:7" ht="16.5" customHeight="1" x14ac:dyDescent="0.3">
      <c r="A26" s="119" t="s">
        <v>24</v>
      </c>
      <c r="B26" s="120">
        <f>[2]!NZDUSD</f>
        <v>43983.631249999999</v>
      </c>
      <c r="C26" s="121">
        <f>[3]!NZDUSD</f>
        <v>0.62365000000000004</v>
      </c>
      <c r="D26" s="121">
        <f>[4]!NZDUSD</f>
        <v>0.62368000000000001</v>
      </c>
      <c r="E26" s="121">
        <f>[5]!NZDUSD</f>
        <v>0.61846999999999996</v>
      </c>
      <c r="F26" s="121">
        <f>[6]!NZDUSD</f>
        <v>0.62617999999999996</v>
      </c>
      <c r="G26" s="128" t="str">
        <f>[7]!NZDUSD</f>
        <v>2020/06/01 15:09:30 0.62365 0.62368</v>
      </c>
    </row>
    <row r="27" spans="1:7" ht="16.5" customHeight="1" x14ac:dyDescent="0.3">
      <c r="A27" s="119" t="s">
        <v>12</v>
      </c>
      <c r="B27" s="120">
        <f>[2]!USDCAD</f>
        <v>43983.631249999999</v>
      </c>
      <c r="C27" s="121">
        <f>[3]!USDCAD</f>
        <v>1.37049</v>
      </c>
      <c r="D27" s="121">
        <f>[4]!USDCAD</f>
        <v>1.3705400000000001</v>
      </c>
      <c r="E27" s="121">
        <f>[5]!USDCAD</f>
        <v>1.3673200000000001</v>
      </c>
      <c r="F27" s="121">
        <f>[6]!USDCAD</f>
        <v>1.3800399999999999</v>
      </c>
      <c r="G27" s="128" t="str">
        <f>[7]!USDCAD</f>
        <v>2020/06/01 15:09:35 1.37049 1.37054</v>
      </c>
    </row>
    <row r="28" spans="1:7" ht="16.5" customHeight="1" x14ac:dyDescent="0.3">
      <c r="A28" s="119" t="s">
        <v>27</v>
      </c>
      <c r="B28" s="120">
        <f>[2]!USDCHF</f>
        <v>43983.631249999999</v>
      </c>
      <c r="C28" s="121">
        <f>[3]!USDCHF</f>
        <v>0.96131999999999995</v>
      </c>
      <c r="D28" s="121">
        <f>[4]!USDCHF</f>
        <v>0.96133999999999997</v>
      </c>
      <c r="E28" s="121">
        <f>[5]!USDCHF</f>
        <v>0.95787999999999995</v>
      </c>
      <c r="F28" s="121">
        <f>[6]!USDCHF</f>
        <v>0.96203000000000005</v>
      </c>
      <c r="G28" s="128" t="str">
        <f>[7]!USDCHF</f>
        <v>2020/06/01 15:09:35 0.96132 0.96134</v>
      </c>
    </row>
    <row r="29" spans="1:7" ht="16.5" customHeight="1" x14ac:dyDescent="0.3">
      <c r="A29" s="119" t="s">
        <v>17</v>
      </c>
      <c r="B29" s="120">
        <f>[2]!USDJPY</f>
        <v>43983.631249999999</v>
      </c>
      <c r="C29" s="121">
        <f>[3]!USDJPY</f>
        <v>107.729</v>
      </c>
      <c r="D29" s="121">
        <f>[4]!USDJPY</f>
        <v>107.729</v>
      </c>
      <c r="E29" s="121">
        <f>[5]!USDJPY</f>
        <v>107.38</v>
      </c>
      <c r="F29" s="121">
        <f>[6]!USDJPY</f>
        <v>107.858</v>
      </c>
      <c r="G29" s="128" t="str">
        <f>[7]!USDJPY</f>
        <v>2020/06/01 15:09:31 107.729 107.729</v>
      </c>
    </row>
    <row r="30" spans="1:7" ht="16.5" customHeight="1" x14ac:dyDescent="0.3">
      <c r="A30" s="119" t="s">
        <v>83</v>
      </c>
      <c r="B30" s="120">
        <f>[2]!XAUUSD</f>
        <v>43983.631249999999</v>
      </c>
      <c r="C30" s="121">
        <f>[3]!XAUUSD</f>
        <v>1732.84</v>
      </c>
      <c r="D30" s="121">
        <f>[4]!XAUUSD</f>
        <v>1733.01</v>
      </c>
      <c r="E30" s="121">
        <f>[5]!XAUUSD</f>
        <v>1728.35</v>
      </c>
      <c r="F30" s="121">
        <f>[6]!XAUUSD</f>
        <v>1744.6</v>
      </c>
      <c r="G30" s="128" t="str">
        <f>[7]!XAUUSD</f>
        <v>2020/06/01 15:09:34 1732.84 1733.01</v>
      </c>
    </row>
    <row r="31" spans="1:7" ht="16.5" customHeight="1" x14ac:dyDescent="0.3">
      <c r="A31" s="119" t="s">
        <v>91</v>
      </c>
      <c r="B31" s="120">
        <f>[2]!USDSGD</f>
        <v>43983.631249999999</v>
      </c>
      <c r="C31" s="121">
        <f>[3]!USDSGD</f>
        <v>1.40961</v>
      </c>
      <c r="D31" s="121">
        <f>[4]!USDSGD</f>
        <v>1.40968</v>
      </c>
      <c r="E31" s="121">
        <f>[5]!USDSGD</f>
        <v>1.40469</v>
      </c>
      <c r="F31" s="121">
        <f>[6]!USDSGD</f>
        <v>1.4139900000000001</v>
      </c>
      <c r="G31" s="128" t="str">
        <f>[7]!USDSGD</f>
        <v>2020/06/01 15:09:26 1.40961 1.40968</v>
      </c>
    </row>
    <row r="33" spans="1:8" ht="16.5" customHeight="1" x14ac:dyDescent="0.25">
      <c r="A33" s="33"/>
      <c r="B33" s="33"/>
      <c r="C33" s="33"/>
      <c r="D33" s="33"/>
      <c r="E33" s="33"/>
      <c r="F33" s="33"/>
      <c r="G33" s="127"/>
      <c r="H33" s="33"/>
    </row>
    <row r="34" spans="1:8" ht="16.5" customHeight="1" x14ac:dyDescent="0.25">
      <c r="A34" s="33"/>
      <c r="B34" s="33"/>
      <c r="C34" s="33"/>
      <c r="D34" s="33"/>
      <c r="E34" s="33"/>
      <c r="F34" s="33"/>
      <c r="G34" s="127"/>
      <c r="H34" s="33"/>
    </row>
    <row r="35" spans="1:8" ht="16.5" customHeight="1" x14ac:dyDescent="0.25">
      <c r="A35" s="33"/>
      <c r="B35" s="33"/>
      <c r="C35" s="33"/>
      <c r="D35" s="33"/>
      <c r="E35" s="33"/>
      <c r="F35" s="33"/>
      <c r="G35" s="127"/>
      <c r="H35" s="33"/>
    </row>
    <row r="36" spans="1:8" ht="16.5" customHeight="1" x14ac:dyDescent="0.25">
      <c r="A36" s="33"/>
      <c r="B36" s="33"/>
      <c r="C36" s="33"/>
      <c r="D36" s="33"/>
      <c r="E36" s="33"/>
      <c r="F36" s="33"/>
      <c r="G36" s="127"/>
      <c r="H36" s="33"/>
    </row>
    <row r="37" spans="1:8" ht="16.5" customHeight="1" x14ac:dyDescent="0.25">
      <c r="A37" s="33"/>
      <c r="B37" s="33"/>
      <c r="C37" s="33"/>
      <c r="D37" s="33"/>
      <c r="E37" s="33"/>
      <c r="F37" s="33"/>
      <c r="G37" s="127"/>
      <c r="H37" s="33"/>
    </row>
    <row r="38" spans="1:8" ht="16.5" customHeight="1" x14ac:dyDescent="0.25">
      <c r="A38" s="33"/>
      <c r="B38" s="33"/>
      <c r="C38" s="33"/>
      <c r="D38" s="33"/>
      <c r="E38" s="33"/>
      <c r="F38" s="33"/>
      <c r="G38" s="127"/>
      <c r="H38" s="33"/>
    </row>
    <row r="39" spans="1:8" ht="16.5" customHeight="1" x14ac:dyDescent="0.25">
      <c r="A39" s="33"/>
      <c r="B39" s="33"/>
      <c r="C39" s="33"/>
      <c r="D39" s="33"/>
      <c r="E39" s="33"/>
      <c r="F39" s="33"/>
      <c r="G39" s="127"/>
      <c r="H39" s="33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30"/>
  <sheetViews>
    <sheetView workbookViewId="0">
      <selection activeCell="L20" sqref="L20"/>
    </sheetView>
  </sheetViews>
  <sheetFormatPr defaultRowHeight="16.5" customHeight="1" x14ac:dyDescent="0.3"/>
  <cols>
    <col min="1" max="1" width="13.5546875" style="28" customWidth="1"/>
    <col min="2" max="2" width="18.21875" style="45" customWidth="1"/>
    <col min="3" max="6" width="15.77734375" style="45" customWidth="1"/>
    <col min="7" max="7" width="15.77734375" style="28" customWidth="1"/>
    <col min="8" max="9" width="14.77734375" style="28" customWidth="1"/>
    <col min="10" max="10" width="14.6640625" style="44" bestFit="1" customWidth="1"/>
    <col min="11" max="11" width="8.88671875" style="28"/>
    <col min="12" max="12" width="14.33203125" style="28" customWidth="1"/>
    <col min="13" max="16384" width="8.88671875" style="28"/>
  </cols>
  <sheetData>
    <row r="1" spans="1:9" ht="16.5" customHeight="1" x14ac:dyDescent="0.3">
      <c r="A1" s="125"/>
      <c r="B1" s="279" t="s">
        <v>45</v>
      </c>
      <c r="C1" s="279"/>
      <c r="D1" s="279"/>
      <c r="E1" s="147" t="s">
        <v>95</v>
      </c>
      <c r="F1" s="147"/>
      <c r="G1" s="148"/>
      <c r="H1" s="280" t="s">
        <v>45</v>
      </c>
      <c r="I1" s="281"/>
    </row>
    <row r="2" spans="1:9" ht="16.5" customHeight="1" x14ac:dyDescent="0.3">
      <c r="A2" s="109" t="s">
        <v>37</v>
      </c>
      <c r="B2" s="110" t="s">
        <v>89</v>
      </c>
      <c r="C2" s="111" t="s">
        <v>38</v>
      </c>
      <c r="D2" s="111" t="s">
        <v>39</v>
      </c>
      <c r="E2" s="111" t="s">
        <v>42</v>
      </c>
      <c r="F2" s="111" t="s">
        <v>43</v>
      </c>
      <c r="G2" s="111" t="s">
        <v>44</v>
      </c>
      <c r="H2" s="111" t="s">
        <v>5</v>
      </c>
      <c r="I2" s="111" t="s">
        <v>4</v>
      </c>
    </row>
    <row r="3" spans="1:9" ht="16.5" customHeight="1" x14ac:dyDescent="0.3">
      <c r="A3" s="113" t="s">
        <v>16</v>
      </c>
      <c r="B3" s="114">
        <f>IF($H$1="DDE",VLOOKUP(A3,'DDE Live Data'!$A$2:$D$29,2,FALSE),VLOOKUP(A3,#REF!,2,FALSE))</f>
        <v>43983.631249999999</v>
      </c>
      <c r="C3" s="116">
        <f>IF($H$1="DDE",VLOOKUP(A3,'DDE Live Data'!$A$2:$D$29,3,FALSE),"")</f>
        <v>0.92381999999999997</v>
      </c>
      <c r="D3" s="116">
        <f>IF($H$1="DDE",VLOOKUP(A3,'DDE Live Data'!$A$2:$D$29,4,FALSE),"")</f>
        <v>0.92386000000000001</v>
      </c>
      <c r="E3" s="115">
        <f>IF(ISNUMBER(SEARCH("JPY",A3)),((D3-C3)*100),((D3-C3)*10000))</f>
        <v>0.40000000000040004</v>
      </c>
      <c r="F3" s="116">
        <f>IF(ISNUMBER(SEARCH("JPY",A3)),((D3-C3)),((D3-C3)))</f>
        <v>4.0000000000040004E-5</v>
      </c>
      <c r="G3" s="117">
        <f>AVERAGE(C3:D3)</f>
        <v>0.92383999999999999</v>
      </c>
      <c r="H3" s="129">
        <f>IF($H$1="DDE",VLOOKUP(A3,'DDE Live Data'!$A$2:$F$29,5,FALSE),"")</f>
        <v>0.91624000000000005</v>
      </c>
      <c r="I3" s="129">
        <f>IF($H$1="DDE",VLOOKUP(A3,'DDE Live Data'!$A$2:$F$29,6,FALSE),"")</f>
        <v>0.92623</v>
      </c>
    </row>
    <row r="4" spans="1:9" ht="16.5" customHeight="1" x14ac:dyDescent="0.3">
      <c r="A4" s="113" t="s">
        <v>32</v>
      </c>
      <c r="B4" s="114">
        <f>IF($H$1="DDE",VLOOKUP(A4,'DDE Live Data'!$A$2:$D$29,2,FALSE),VLOOKUP(A4,#REF!,2,FALSE))</f>
        <v>43983.631249999999</v>
      </c>
      <c r="C4" s="116">
        <f>IF($H$1="DDE",VLOOKUP(A4,'DDE Live Data'!$A$2:$D$29,3,FALSE),"")</f>
        <v>0.64800000000000002</v>
      </c>
      <c r="D4" s="116">
        <f>IF($H$1="DDE",VLOOKUP(A4,'DDE Live Data'!$A$2:$D$29,4,FALSE),"")</f>
        <v>0.64802999999999999</v>
      </c>
      <c r="E4" s="115">
        <f t="shared" ref="E4:E18" si="0">IF(ISNUMBER(SEARCH("JPY",A4)),((D4-C4)*100),((D4-C4)*10000))</f>
        <v>0.29999999999974492</v>
      </c>
      <c r="F4" s="116">
        <f t="shared" ref="F4:F18" si="1">IF(ISNUMBER(SEARCH("JPY",A4)),((D4-C4)),((D4-C4)))</f>
        <v>2.9999999999974492E-5</v>
      </c>
      <c r="G4" s="117">
        <f t="shared" ref="G4:G18" si="2">AVERAGE(C4:D4)</f>
        <v>0.64801500000000001</v>
      </c>
      <c r="H4" s="129">
        <f>IF($H$1="DDE",VLOOKUP(A4,'DDE Live Data'!$A$2:$F$29,5,FALSE),"")</f>
        <v>0.63902000000000003</v>
      </c>
      <c r="I4" s="129">
        <f>IF($H$1="DDE",VLOOKUP(A4,'DDE Live Data'!$A$2:$F$29,6,FALSE),"")</f>
        <v>0.64981999999999995</v>
      </c>
    </row>
    <row r="5" spans="1:9" ht="16.5" customHeight="1" x14ac:dyDescent="0.3">
      <c r="A5" s="113" t="s">
        <v>23</v>
      </c>
      <c r="B5" s="114">
        <f>IF($H$1="DDE",VLOOKUP(A5,'DDE Live Data'!$A$2:$D$29,2,FALSE),VLOOKUP(A5,#REF!,2,FALSE))</f>
        <v>43983.631249999999</v>
      </c>
      <c r="C5" s="116">
        <f>IF($H$1="DDE",VLOOKUP(A5,'DDE Live Data'!$A$2:$D$29,3,FALSE),"")</f>
        <v>72.616</v>
      </c>
      <c r="D5" s="116">
        <f>IF($H$1="DDE",VLOOKUP(A5,'DDE Live Data'!$A$2:$D$29,4,FALSE),"")</f>
        <v>72.619</v>
      </c>
      <c r="E5" s="115">
        <f t="shared" si="0"/>
        <v>0.30000000000001137</v>
      </c>
      <c r="F5" s="116">
        <f t="shared" si="1"/>
        <v>3.0000000000001137E-3</v>
      </c>
      <c r="G5" s="117">
        <f t="shared" si="2"/>
        <v>72.617500000000007</v>
      </c>
      <c r="H5" s="129">
        <f>IF($H$1="DDE",VLOOKUP(A5,'DDE Live Data'!$A$2:$F$29,5,FALSE),"")</f>
        <v>71.603999999999999</v>
      </c>
      <c r="I5" s="129">
        <f>IF($H$1="DDE",VLOOKUP(A5,'DDE Live Data'!$A$2:$F$29,6,FALSE),"")</f>
        <v>72.825000000000003</v>
      </c>
    </row>
    <row r="6" spans="1:9" ht="16.5" customHeight="1" x14ac:dyDescent="0.3">
      <c r="A6" s="113" t="s">
        <v>9</v>
      </c>
      <c r="B6" s="114">
        <f>IF($H$1="DDE",VLOOKUP(A6,'DDE Live Data'!$A$2:$D$29,2,FALSE),VLOOKUP(A6,#REF!,2,FALSE))</f>
        <v>43983.631249999999</v>
      </c>
      <c r="C6" s="116">
        <f>IF($H$1="DDE",VLOOKUP(A6,'DDE Live Data'!$A$2:$D$29,3,FALSE),"")</f>
        <v>1.08084</v>
      </c>
      <c r="D6" s="116">
        <f>IF($H$1="DDE",VLOOKUP(A6,'DDE Live Data'!$A$2:$D$29,4,FALSE),"")</f>
        <v>1.0809</v>
      </c>
      <c r="E6" s="115">
        <f t="shared" si="0"/>
        <v>0.59999999999948983</v>
      </c>
      <c r="F6" s="116">
        <f t="shared" si="1"/>
        <v>5.9999999999948983E-5</v>
      </c>
      <c r="G6" s="117">
        <f t="shared" si="2"/>
        <v>1.08087</v>
      </c>
      <c r="H6" s="129">
        <f>IF($H$1="DDE",VLOOKUP(A6,'DDE Live Data'!$A$2:$F$29,5,FALSE),"")</f>
        <v>1.0737399999999999</v>
      </c>
      <c r="I6" s="129">
        <f>IF($H$1="DDE",VLOOKUP(A6,'DDE Live Data'!$A$2:$F$29,6,FALSE),"")</f>
        <v>1.0816699999999999</v>
      </c>
    </row>
    <row r="7" spans="1:9" ht="16.5" customHeight="1" x14ac:dyDescent="0.3">
      <c r="A7" s="113" t="s">
        <v>26</v>
      </c>
      <c r="B7" s="114">
        <f>IF($H$1="DDE",VLOOKUP(A7,'DDE Live Data'!$A$2:$D$29,2,FALSE),VLOOKUP(A7,#REF!,2,FALSE))</f>
        <v>43983.631249999999</v>
      </c>
      <c r="C7" s="116">
        <f>IF($H$1="DDE",VLOOKUP(A7,'DDE Live Data'!$A$2:$D$29,3,FALSE),"")</f>
        <v>0.67406999999999995</v>
      </c>
      <c r="D7" s="116">
        <f>IF($H$1="DDE",VLOOKUP(A7,'DDE Live Data'!$A$2:$D$29,4,FALSE),"")</f>
        <v>0.67410000000000003</v>
      </c>
      <c r="E7" s="115">
        <f t="shared" si="0"/>
        <v>0.30000000000085514</v>
      </c>
      <c r="F7" s="116">
        <f t="shared" si="1"/>
        <v>3.0000000000085514E-5</v>
      </c>
      <c r="G7" s="117">
        <f t="shared" si="2"/>
        <v>0.67408500000000005</v>
      </c>
      <c r="H7" s="129">
        <f>IF($H$1="DDE",VLOOKUP(A7,'DDE Live Data'!$A$2:$F$29,5,FALSE),"")</f>
        <v>0.66478999999999999</v>
      </c>
      <c r="I7" s="129">
        <f>IF($H$1="DDE",VLOOKUP(A7,'DDE Live Data'!$A$2:$F$29,6,FALSE),"")</f>
        <v>0.67723999999999995</v>
      </c>
    </row>
    <row r="8" spans="1:9" ht="16.5" customHeight="1" x14ac:dyDescent="0.3">
      <c r="A8" s="113" t="s">
        <v>31</v>
      </c>
      <c r="B8" s="114">
        <f>IF($H$1="DDE",VLOOKUP(A8,'DDE Live Data'!$A$2:$D$29,2,FALSE),VLOOKUP(A8,#REF!,2,FALSE))</f>
        <v>43983.631249999999</v>
      </c>
      <c r="C8" s="116">
        <f>IF($H$1="DDE",VLOOKUP(A8,'DDE Live Data'!$A$2:$D$29,3,FALSE),"")</f>
        <v>0.70142000000000004</v>
      </c>
      <c r="D8" s="116">
        <f>IF($H$1="DDE",VLOOKUP(A8,'DDE Live Data'!$A$2:$D$29,4,FALSE),"")</f>
        <v>0.70145000000000002</v>
      </c>
      <c r="E8" s="115">
        <f t="shared" si="0"/>
        <v>0.29999999999974492</v>
      </c>
      <c r="F8" s="116">
        <f t="shared" si="1"/>
        <v>2.9999999999974492E-5</v>
      </c>
      <c r="G8" s="117">
        <f t="shared" si="2"/>
        <v>0.70143500000000003</v>
      </c>
      <c r="H8" s="129">
        <f>IF($H$1="DDE",VLOOKUP(A8,'DDE Live Data'!$A$2:$F$29,5,FALSE),"")</f>
        <v>0.69642999999999999</v>
      </c>
      <c r="I8" s="129">
        <f>IF($H$1="DDE",VLOOKUP(A8,'DDE Live Data'!$A$2:$F$29,6,FALSE),"")</f>
        <v>0.70189999999999997</v>
      </c>
    </row>
    <row r="9" spans="1:9" ht="16.5" customHeight="1" x14ac:dyDescent="0.3">
      <c r="A9" s="113" t="s">
        <v>22</v>
      </c>
      <c r="B9" s="114">
        <f>IF($H$1="DDE",VLOOKUP(A9,'DDE Live Data'!$A$2:$D$29,2,FALSE),VLOOKUP(A9,#REF!,2,FALSE))</f>
        <v>43983.631249999999</v>
      </c>
      <c r="C9" s="116">
        <f>IF($H$1="DDE",VLOOKUP(A9,'DDE Live Data'!$A$2:$D$29,3,FALSE),"")</f>
        <v>78.603999999999999</v>
      </c>
      <c r="D9" s="116">
        <f>IF($H$1="DDE",VLOOKUP(A9,'DDE Live Data'!$A$2:$D$29,4,FALSE),"")</f>
        <v>78.605999999999995</v>
      </c>
      <c r="E9" s="115">
        <f t="shared" si="0"/>
        <v>0.19999999999953388</v>
      </c>
      <c r="F9" s="116">
        <f t="shared" si="1"/>
        <v>1.9999999999953388E-3</v>
      </c>
      <c r="G9" s="117">
        <f t="shared" si="2"/>
        <v>78.60499999999999</v>
      </c>
      <c r="H9" s="129">
        <f>IF($H$1="DDE",VLOOKUP(A9,'DDE Live Data'!$A$2:$F$29,5,FALSE),"")</f>
        <v>78.040000000000006</v>
      </c>
      <c r="I9" s="129">
        <f>IF($H$1="DDE",VLOOKUP(A9,'DDE Live Data'!$A$2:$F$29,6,FALSE),"")</f>
        <v>78.647000000000006</v>
      </c>
    </row>
    <row r="10" spans="1:9" ht="16.5" customHeight="1" x14ac:dyDescent="0.3">
      <c r="A10" s="113" t="s">
        <v>21</v>
      </c>
      <c r="B10" s="114">
        <f>IF($H$1="DDE",VLOOKUP(A10,'DDE Live Data'!$A$2:$D$29,2,FALSE),VLOOKUP(A10,#REF!,2,FALSE))</f>
        <v>43983.631249999999</v>
      </c>
      <c r="C10" s="116">
        <f>IF($H$1="DDE",VLOOKUP(A10,'DDE Live Data'!$A$2:$D$29,3,FALSE),"")</f>
        <v>112.059</v>
      </c>
      <c r="D10" s="116">
        <f>IF($H$1="DDE",VLOOKUP(A10,'DDE Live Data'!$A$2:$D$29,4,FALSE),"")</f>
        <v>112.063</v>
      </c>
      <c r="E10" s="115">
        <f t="shared" si="0"/>
        <v>0.40000000000048885</v>
      </c>
      <c r="F10" s="116">
        <f t="shared" si="1"/>
        <v>4.0000000000048885E-3</v>
      </c>
      <c r="G10" s="117">
        <f t="shared" si="2"/>
        <v>112.06100000000001</v>
      </c>
      <c r="H10" s="129">
        <f>IF($H$1="DDE",VLOOKUP(A10,'DDE Live Data'!$A$2:$F$29,5,FALSE),"")</f>
        <v>111.761</v>
      </c>
      <c r="I10" s="129">
        <f>IF($H$1="DDE",VLOOKUP(A10,'DDE Live Data'!$A$2:$F$29,6,FALSE),"")</f>
        <v>112.307</v>
      </c>
    </row>
    <row r="11" spans="1:9" ht="16.5" customHeight="1" x14ac:dyDescent="0.3">
      <c r="A11" s="113" t="s">
        <v>11</v>
      </c>
      <c r="B11" s="114">
        <f>IF($H$1="DDE",VLOOKUP(A11,'DDE Live Data'!$A$2:$D$29,2,FALSE),VLOOKUP(A11,#REF!,2,FALSE))</f>
        <v>43983.631249999999</v>
      </c>
      <c r="C11" s="116">
        <f>IF($H$1="DDE",VLOOKUP(A11,'DDE Live Data'!$A$2:$D$29,3,FALSE),"")</f>
        <v>1.649</v>
      </c>
      <c r="D11" s="116">
        <f>IF($H$1="DDE",VLOOKUP(A11,'DDE Live Data'!$A$2:$D$29,4,FALSE),"")</f>
        <v>1.6490199999999999</v>
      </c>
      <c r="E11" s="115">
        <f t="shared" si="0"/>
        <v>0.19999999999908979</v>
      </c>
      <c r="F11" s="116">
        <f t="shared" si="1"/>
        <v>1.9999999999908979E-5</v>
      </c>
      <c r="G11" s="117">
        <f t="shared" si="2"/>
        <v>1.6490100000000001</v>
      </c>
      <c r="H11" s="129">
        <f>IF($H$1="DDE",VLOOKUP(A11,'DDE Live Data'!$A$2:$F$29,5,FALSE),"")</f>
        <v>1.6463099999999999</v>
      </c>
      <c r="I11" s="129">
        <f>IF($H$1="DDE",VLOOKUP(A11,'DDE Live Data'!$A$2:$F$29,6,FALSE),"")</f>
        <v>1.6706799999999999</v>
      </c>
    </row>
    <row r="12" spans="1:9" ht="16.5" customHeight="1" x14ac:dyDescent="0.3">
      <c r="A12" s="113" t="s">
        <v>15</v>
      </c>
      <c r="B12" s="114">
        <f>IF($H$1="DDE",VLOOKUP(A12,'DDE Live Data'!$A$2:$D$29,2,FALSE),VLOOKUP(A12,#REF!,2,FALSE))</f>
        <v>43983.631249999999</v>
      </c>
      <c r="C12" s="116">
        <f>IF($H$1="DDE",VLOOKUP(A12,'DDE Live Data'!$A$2:$D$29,3,FALSE),"")</f>
        <v>1.5234099999999999</v>
      </c>
      <c r="D12" s="116">
        <f>IF($H$1="DDE",VLOOKUP(A12,'DDE Live Data'!$A$2:$D$29,4,FALSE),"")</f>
        <v>1.52345</v>
      </c>
      <c r="E12" s="115">
        <f t="shared" si="0"/>
        <v>0.40000000000040004</v>
      </c>
      <c r="F12" s="116">
        <f t="shared" si="1"/>
        <v>4.0000000000040004E-5</v>
      </c>
      <c r="G12" s="117">
        <f t="shared" si="2"/>
        <v>1.5234299999999998</v>
      </c>
      <c r="H12" s="129">
        <f>IF($H$1="DDE",VLOOKUP(A12,'DDE Live Data'!$A$2:$F$29,5,FALSE),"")</f>
        <v>1.5228200000000001</v>
      </c>
      <c r="I12" s="129">
        <f>IF($H$1="DDE",VLOOKUP(A12,'DDE Live Data'!$A$2:$F$29,6,FALSE),"")</f>
        <v>1.5325299999999999</v>
      </c>
    </row>
    <row r="13" spans="1:9" ht="16.5" customHeight="1" x14ac:dyDescent="0.3">
      <c r="A13" s="113" t="s">
        <v>30</v>
      </c>
      <c r="B13" s="114">
        <f>IF($H$1="DDE",VLOOKUP(A13,'DDE Live Data'!$A$2:$D$29,2,FALSE),VLOOKUP(A13,#REF!,2,FALSE))</f>
        <v>43983.631249999999</v>
      </c>
      <c r="C13" s="116">
        <f>IF($H$1="DDE",VLOOKUP(A13,'DDE Live Data'!$A$2:$D$29,3,FALSE),"")</f>
        <v>1.06857</v>
      </c>
      <c r="D13" s="116">
        <f>IF($H$1="DDE",VLOOKUP(A13,'DDE Live Data'!$A$2:$D$29,4,FALSE),"")</f>
        <v>1.0686</v>
      </c>
      <c r="E13" s="115">
        <f t="shared" si="0"/>
        <v>0.29999999999974492</v>
      </c>
      <c r="F13" s="116">
        <f t="shared" si="1"/>
        <v>2.9999999999974492E-5</v>
      </c>
      <c r="G13" s="117">
        <f t="shared" si="2"/>
        <v>1.0685850000000001</v>
      </c>
      <c r="H13" s="129">
        <f>IF($H$1="DDE",VLOOKUP(A13,'DDE Live Data'!$A$2:$F$29,5,FALSE),"")</f>
        <v>1.0668800000000001</v>
      </c>
      <c r="I13" s="129">
        <f>IF($H$1="DDE",VLOOKUP(A13,'DDE Live Data'!$A$2:$F$29,6,FALSE),"")</f>
        <v>1.0706599999999999</v>
      </c>
    </row>
    <row r="14" spans="1:9" ht="16.5" customHeight="1" x14ac:dyDescent="0.3">
      <c r="A14" s="113" t="s">
        <v>33</v>
      </c>
      <c r="B14" s="114">
        <f>IF($H$1="DDE",VLOOKUP(A14,'DDE Live Data'!$A$2:$D$29,2,FALSE),VLOOKUP(A14,#REF!,2,FALSE))</f>
        <v>43983.631249999999</v>
      </c>
      <c r="C14" s="116">
        <f>IF($H$1="DDE",VLOOKUP(A14,'DDE Live Data'!$A$2:$D$29,3,FALSE),"")</f>
        <v>0.89686999999999995</v>
      </c>
      <c r="D14" s="116">
        <f>IF($H$1="DDE",VLOOKUP(A14,'DDE Live Data'!$A$2:$D$29,4,FALSE),"")</f>
        <v>0.89688999999999997</v>
      </c>
      <c r="E14" s="115">
        <f t="shared" si="0"/>
        <v>0.20000000000020002</v>
      </c>
      <c r="F14" s="116">
        <f t="shared" si="1"/>
        <v>2.0000000000020002E-5</v>
      </c>
      <c r="G14" s="117">
        <f t="shared" si="2"/>
        <v>0.8968799999999999</v>
      </c>
      <c r="H14" s="129">
        <f>IF($H$1="DDE",VLOOKUP(A14,'DDE Live Data'!$A$2:$F$29,5,FALSE),"")</f>
        <v>0.89629000000000003</v>
      </c>
      <c r="I14" s="129">
        <f>IF($H$1="DDE",VLOOKUP(A14,'DDE Live Data'!$A$2:$F$29,6,FALSE),"")</f>
        <v>0.90161999999999998</v>
      </c>
    </row>
    <row r="15" spans="1:9" ht="16.5" customHeight="1" x14ac:dyDescent="0.3">
      <c r="A15" s="113" t="s">
        <v>20</v>
      </c>
      <c r="B15" s="114">
        <f>IF($H$1="DDE",VLOOKUP(A15,'DDE Live Data'!$A$2:$D$29,2,FALSE),VLOOKUP(A15,#REF!,2,FALSE))</f>
        <v>43983.631249999999</v>
      </c>
      <c r="C15" s="116">
        <f>IF($H$1="DDE",VLOOKUP(A15,'DDE Live Data'!$A$2:$D$29,3,FALSE),"")</f>
        <v>119.748</v>
      </c>
      <c r="D15" s="116">
        <f>IF($H$1="DDE",VLOOKUP(A15,'DDE Live Data'!$A$2:$D$29,4,FALSE),"")</f>
        <v>119.749</v>
      </c>
      <c r="E15" s="115">
        <f t="shared" si="0"/>
        <v>9.9999999999056399E-2</v>
      </c>
      <c r="F15" s="116">
        <f t="shared" si="1"/>
        <v>9.9999999999056399E-4</v>
      </c>
      <c r="G15" s="117">
        <f t="shared" si="2"/>
        <v>119.74850000000001</v>
      </c>
      <c r="H15" s="129">
        <f>IF($H$1="DDE",VLOOKUP(A15,'DDE Live Data'!$A$2:$F$29,5,FALSE),"")</f>
        <v>119.425</v>
      </c>
      <c r="I15" s="129">
        <f>IF($H$1="DDE",VLOOKUP(A15,'DDE Live Data'!$A$2:$F$29,6,FALSE),"")</f>
        <v>119.976</v>
      </c>
    </row>
    <row r="16" spans="1:9" ht="16.5" customHeight="1" x14ac:dyDescent="0.3">
      <c r="A16" s="113" t="s">
        <v>8</v>
      </c>
      <c r="B16" s="114">
        <f>IF($H$1="DDE",VLOOKUP(A16,'DDE Live Data'!$A$2:$D$29,2,FALSE),VLOOKUP(A16,#REF!,2,FALSE))</f>
        <v>43983.631249999999</v>
      </c>
      <c r="C16" s="116">
        <f>IF($H$1="DDE",VLOOKUP(A16,'DDE Live Data'!$A$2:$D$29,3,FALSE),"")</f>
        <v>1.78226</v>
      </c>
      <c r="D16" s="116">
        <f>IF($H$1="DDE",VLOOKUP(A16,'DDE Live Data'!$A$2:$D$29,4,FALSE),"")</f>
        <v>1.78237</v>
      </c>
      <c r="E16" s="115">
        <f t="shared" si="0"/>
        <v>1.100000000000545</v>
      </c>
      <c r="F16" s="116">
        <f t="shared" si="1"/>
        <v>1.100000000000545E-4</v>
      </c>
      <c r="G16" s="117">
        <f t="shared" si="2"/>
        <v>1.7823150000000001</v>
      </c>
      <c r="H16" s="129">
        <f>IF($H$1="DDE",VLOOKUP(A16,'DDE Live Data'!$A$2:$F$29,5,FALSE),"")</f>
        <v>1.7796000000000001</v>
      </c>
      <c r="I16" s="129">
        <f>IF($H$1="DDE",VLOOKUP(A16,'DDE Live Data'!$A$2:$F$29,6,FALSE),"")</f>
        <v>1.7956000000000001</v>
      </c>
    </row>
    <row r="17" spans="1:9" ht="16.5" customHeight="1" x14ac:dyDescent="0.3">
      <c r="A17" s="113" t="s">
        <v>6</v>
      </c>
      <c r="B17" s="114">
        <f>IF($H$1="DDE",VLOOKUP(A17,'DDE Live Data'!$A$2:$D$29,2,FALSE),VLOOKUP(A17,#REF!,2,FALSE))</f>
        <v>43983.631249999999</v>
      </c>
      <c r="C17" s="116">
        <f>IF($H$1="DDE",VLOOKUP(A17,'DDE Live Data'!$A$2:$D$29,3,FALSE),"")</f>
        <v>1.11158</v>
      </c>
      <c r="D17" s="116">
        <f>IF($H$1="DDE",VLOOKUP(A17,'DDE Live Data'!$A$2:$D$29,4,FALSE),"")</f>
        <v>1.11158</v>
      </c>
      <c r="E17" s="115">
        <f t="shared" si="0"/>
        <v>0</v>
      </c>
      <c r="F17" s="116">
        <f t="shared" si="1"/>
        <v>0</v>
      </c>
      <c r="G17" s="117">
        <f t="shared" si="2"/>
        <v>1.11158</v>
      </c>
      <c r="H17" s="129">
        <f>IF($H$1="DDE",VLOOKUP(A17,'DDE Live Data'!$A$2:$F$29,5,FALSE),"")</f>
        <v>1.11005</v>
      </c>
      <c r="I17" s="129">
        <f>IF($H$1="DDE",VLOOKUP(A17,'DDE Live Data'!$A$2:$F$29,6,FALSE),"")</f>
        <v>1.11538</v>
      </c>
    </row>
    <row r="18" spans="1:9" ht="16.5" customHeight="1" x14ac:dyDescent="0.3">
      <c r="A18" s="113" t="s">
        <v>10</v>
      </c>
      <c r="B18" s="114">
        <f>IF($H$1="DDE",VLOOKUP(A18,'DDE Live Data'!$A$2:$D$29,2,FALSE),VLOOKUP(A18,#REF!,2,FALSE))</f>
        <v>43983.631249999999</v>
      </c>
      <c r="C18" s="116">
        <f>IF($H$1="DDE",VLOOKUP(A18,'DDE Live Data'!$A$2:$D$29,3,FALSE),"")</f>
        <v>1.8386100000000001</v>
      </c>
      <c r="D18" s="116">
        <f>IF($H$1="DDE",VLOOKUP(A18,'DDE Live Data'!$A$2:$D$29,4,FALSE),"")</f>
        <v>1.83866</v>
      </c>
      <c r="E18" s="115">
        <f t="shared" si="0"/>
        <v>0.49999999999883471</v>
      </c>
      <c r="F18" s="116">
        <f t="shared" si="1"/>
        <v>4.9999999999883471E-5</v>
      </c>
      <c r="G18" s="117">
        <f t="shared" si="2"/>
        <v>1.838635</v>
      </c>
      <c r="H18" s="129">
        <f>IF($H$1="DDE",VLOOKUP(A18,'DDE Live Data'!$A$2:$F$29,5,FALSE),"")</f>
        <v>1.83433</v>
      </c>
      <c r="I18" s="129">
        <f>IF($H$1="DDE",VLOOKUP(A18,'DDE Live Data'!$A$2:$F$29,6,FALSE),"")</f>
        <v>1.8552</v>
      </c>
    </row>
    <row r="19" spans="1:9" ht="16.5" customHeight="1" x14ac:dyDescent="0.3">
      <c r="A19" s="113" t="s">
        <v>14</v>
      </c>
      <c r="B19" s="114">
        <f>IF($H$1="DDE",VLOOKUP(A19,'DDE Live Data'!$A$2:$D$29,2,FALSE),VLOOKUP(A19,#REF!,2,FALSE))</f>
        <v>43983.631249999999</v>
      </c>
      <c r="C19" s="116">
        <f>IF($H$1="DDE",VLOOKUP(A19,'DDE Live Data'!$A$2:$D$29,3,FALSE),"")</f>
        <v>1.6986000000000001</v>
      </c>
      <c r="D19" s="116">
        <f>IF($H$1="DDE",VLOOKUP(A19,'DDE Live Data'!$A$2:$D$29,4,FALSE),"")</f>
        <v>1.6986399999999999</v>
      </c>
      <c r="E19" s="115">
        <f>IF(ISNUMBER(SEARCH("JPY",A19)),((D19-C19)*100),((D19-C19)*10000))</f>
        <v>0.39999999999817959</v>
      </c>
      <c r="F19" s="116">
        <f>IF(ISNUMBER(SEARCH("JPY",A19)),((D19-C19)),((D19-C19)))</f>
        <v>3.9999999999817959E-5</v>
      </c>
      <c r="G19" s="117">
        <f>AVERAGE(C19:D19)</f>
        <v>1.69862</v>
      </c>
      <c r="H19" s="129">
        <f>IF($H$1="DDE",VLOOKUP(A19,'DDE Live Data'!$A$2:$F$29,5,FALSE),"")</f>
        <v>1.6971799999999999</v>
      </c>
      <c r="I19" s="129">
        <f>IF($H$1="DDE",VLOOKUP(A19,'DDE Live Data'!$A$2:$F$29,6,FALSE),"")</f>
        <v>1.70305</v>
      </c>
    </row>
    <row r="20" spans="1:9" ht="16.5" customHeight="1" x14ac:dyDescent="0.3">
      <c r="A20" s="113" t="s">
        <v>29</v>
      </c>
      <c r="B20" s="114">
        <f>IF($H$1="DDE",VLOOKUP(A20,'DDE Live Data'!$A$2:$D$29,2,FALSE),VLOOKUP(A20,#REF!,2,FALSE))</f>
        <v>43983.631249999999</v>
      </c>
      <c r="C20" s="116">
        <f>IF($H$1="DDE",VLOOKUP(A20,'DDE Live Data'!$A$2:$D$29,3,FALSE),"")</f>
        <v>1.1914400000000001</v>
      </c>
      <c r="D20" s="116">
        <f>IF($H$1="DDE",VLOOKUP(A20,'DDE Live Data'!$A$2:$D$29,4,FALSE),"")</f>
        <v>1.1915</v>
      </c>
      <c r="E20" s="115">
        <f t="shared" ref="E20:E30" si="3">IF(ISNUMBER(SEARCH("JPY",A20)),((D20-C20)*100),((D20-C20)*10000))</f>
        <v>0.59999999999948983</v>
      </c>
      <c r="F20" s="116">
        <f t="shared" ref="F20:F30" si="4">IF(ISNUMBER(SEARCH("JPY",A20)),((D20-C20)),((D20-C20)))</f>
        <v>5.9999999999948983E-5</v>
      </c>
      <c r="G20" s="117">
        <f t="shared" ref="G20:G30" si="5">AVERAGE(C20:D20)</f>
        <v>1.19147</v>
      </c>
      <c r="H20" s="129">
        <f>IF($H$1="DDE",VLOOKUP(A20,'DDE Live Data'!$A$2:$F$29,5,FALSE),"")</f>
        <v>1.1838599999999999</v>
      </c>
      <c r="I20" s="129">
        <f>IF($H$1="DDE",VLOOKUP(A20,'DDE Live Data'!$A$2:$F$29,6,FALSE),"")</f>
        <v>1.1924300000000001</v>
      </c>
    </row>
    <row r="21" spans="1:9" ht="16.5" customHeight="1" x14ac:dyDescent="0.3">
      <c r="A21" s="113" t="s">
        <v>19</v>
      </c>
      <c r="B21" s="114">
        <f>IF($H$1="DDE",VLOOKUP(A21,'DDE Live Data'!$A$2:$D$29,2,FALSE),VLOOKUP(A21,#REF!,2,FALSE))</f>
        <v>43983.631249999999</v>
      </c>
      <c r="C21" s="116">
        <f>IF($H$1="DDE",VLOOKUP(A21,'DDE Live Data'!$A$2:$D$29,3,FALSE),"")</f>
        <v>133.51400000000001</v>
      </c>
      <c r="D21" s="116">
        <f>IF($H$1="DDE",VLOOKUP(A21,'DDE Live Data'!$A$2:$D$29,4,FALSE),"")</f>
        <v>133.51599999999999</v>
      </c>
      <c r="E21" s="115">
        <f t="shared" si="3"/>
        <v>0.1999999999981128</v>
      </c>
      <c r="F21" s="116">
        <f t="shared" si="4"/>
        <v>1.999999999981128E-3</v>
      </c>
      <c r="G21" s="117">
        <f t="shared" si="5"/>
        <v>133.51499999999999</v>
      </c>
      <c r="H21" s="129">
        <f>IF($H$1="DDE",VLOOKUP(A21,'DDE Live Data'!$A$2:$F$29,5,FALSE),"")</f>
        <v>132.703</v>
      </c>
      <c r="I21" s="129">
        <f>IF($H$1="DDE",VLOOKUP(A21,'DDE Live Data'!$A$2:$F$29,6,FALSE),"")</f>
        <v>133.66900000000001</v>
      </c>
    </row>
    <row r="22" spans="1:9" ht="16.5" customHeight="1" x14ac:dyDescent="0.3">
      <c r="A22" s="113" t="s">
        <v>7</v>
      </c>
      <c r="B22" s="114">
        <f>IF($H$1="DDE",VLOOKUP(A22,'DDE Live Data'!$A$2:$D$29,2,FALSE),VLOOKUP(A22,#REF!,2,FALSE))</f>
        <v>43983.631249999999</v>
      </c>
      <c r="C22" s="116">
        <f>IF($H$1="DDE",VLOOKUP(A22,'DDE Live Data'!$A$2:$D$29,3,FALSE),"")</f>
        <v>1.9872300000000001</v>
      </c>
      <c r="D22" s="116">
        <f>IF($H$1="DDE",VLOOKUP(A22,'DDE Live Data'!$A$2:$D$29,4,FALSE),"")</f>
        <v>1.98733</v>
      </c>
      <c r="E22" s="115">
        <f t="shared" si="3"/>
        <v>0.99999999999988987</v>
      </c>
      <c r="F22" s="116">
        <f t="shared" si="4"/>
        <v>9.9999999999988987E-5</v>
      </c>
      <c r="G22" s="117">
        <f t="shared" si="5"/>
        <v>1.9872800000000002</v>
      </c>
      <c r="H22" s="129">
        <f>IF($H$1="DDE",VLOOKUP(A22,'DDE Live Data'!$A$2:$F$29,5,FALSE),"")</f>
        <v>1.98247</v>
      </c>
      <c r="I22" s="129">
        <f>IF($H$1="DDE",VLOOKUP(A22,'DDE Live Data'!$A$2:$F$29,6,FALSE),"")</f>
        <v>1.9933099999999999</v>
      </c>
    </row>
    <row r="23" spans="1:9" ht="16.5" customHeight="1" x14ac:dyDescent="0.3">
      <c r="A23" s="113" t="s">
        <v>25</v>
      </c>
      <c r="B23" s="114">
        <f>IF($H$1="DDE",VLOOKUP(A23,'DDE Live Data'!$A$2:$D$29,2,FALSE),VLOOKUP(A23,#REF!,2,FALSE))</f>
        <v>43983.631249999999</v>
      </c>
      <c r="C23" s="116">
        <f>IF($H$1="DDE",VLOOKUP(A23,'DDE Live Data'!$A$2:$D$29,3,FALSE),"")</f>
        <v>1.2394099999999999</v>
      </c>
      <c r="D23" s="116">
        <f>IF($H$1="DDE",VLOOKUP(A23,'DDE Live Data'!$A$2:$D$29,4,FALSE),"")</f>
        <v>1.2394099999999999</v>
      </c>
      <c r="E23" s="115">
        <f t="shared" si="3"/>
        <v>0</v>
      </c>
      <c r="F23" s="116">
        <f t="shared" si="4"/>
        <v>0</v>
      </c>
      <c r="G23" s="117">
        <f t="shared" si="5"/>
        <v>1.2394099999999999</v>
      </c>
      <c r="H23" s="129">
        <f>IF($H$1="DDE",VLOOKUP(A23,'DDE Live Data'!$A$2:$F$29,5,FALSE),"")</f>
        <v>1.2323599999999999</v>
      </c>
      <c r="I23" s="129">
        <f>IF($H$1="DDE",VLOOKUP(A23,'DDE Live Data'!$A$2:$F$29,6,FALSE),"")</f>
        <v>1.24258</v>
      </c>
    </row>
    <row r="24" spans="1:9" ht="16.5" customHeight="1" x14ac:dyDescent="0.3">
      <c r="A24" s="113" t="s">
        <v>13</v>
      </c>
      <c r="B24" s="114">
        <f>IF($H$1="DDE",VLOOKUP(A24,'DDE Live Data'!$A$2:$D$29,2,FALSE),VLOOKUP(A24,#REF!,2,FALSE))</f>
        <v>43983.631249999999</v>
      </c>
      <c r="C24" s="116">
        <f>IF($H$1="DDE",VLOOKUP(A24,'DDE Live Data'!$A$2:$D$29,3,FALSE),"")</f>
        <v>0.85472000000000004</v>
      </c>
      <c r="D24" s="116">
        <f>IF($H$1="DDE",VLOOKUP(A24,'DDE Live Data'!$A$2:$D$29,4,FALSE),"")</f>
        <v>0.85479000000000005</v>
      </c>
      <c r="E24" s="115">
        <f t="shared" si="3"/>
        <v>0.70000000000014495</v>
      </c>
      <c r="F24" s="116">
        <f t="shared" si="4"/>
        <v>7.0000000000014495E-5</v>
      </c>
      <c r="G24" s="117">
        <f t="shared" si="5"/>
        <v>0.85475500000000004</v>
      </c>
      <c r="H24" s="129">
        <f>IF($H$1="DDE",VLOOKUP(A24,'DDE Live Data'!$A$2:$F$29,5,FALSE),"")</f>
        <v>0.85202</v>
      </c>
      <c r="I24" s="129">
        <f>IF($H$1="DDE",VLOOKUP(A24,'DDE Live Data'!$A$2:$F$29,6,FALSE),"")</f>
        <v>0.85721000000000003</v>
      </c>
    </row>
    <row r="25" spans="1:9" ht="16.5" customHeight="1" x14ac:dyDescent="0.3">
      <c r="A25" s="113" t="s">
        <v>28</v>
      </c>
      <c r="B25" s="114">
        <f>IF($H$1="DDE",VLOOKUP(A25,'DDE Live Data'!$A$2:$D$29,2,FALSE),VLOOKUP(A25,#REF!,2,FALSE))</f>
        <v>43983.631249999999</v>
      </c>
      <c r="C25" s="116">
        <f>IF($H$1="DDE",VLOOKUP(A25,'DDE Live Data'!$A$2:$D$29,3,FALSE),"")</f>
        <v>0.59953000000000001</v>
      </c>
      <c r="D25" s="116">
        <f>IF($H$1="DDE",VLOOKUP(A25,'DDE Live Data'!$A$2:$D$29,4,FALSE),"")</f>
        <v>0.59957000000000005</v>
      </c>
      <c r="E25" s="115">
        <f t="shared" si="3"/>
        <v>0.40000000000040004</v>
      </c>
      <c r="F25" s="116">
        <f t="shared" si="4"/>
        <v>4.0000000000040004E-5</v>
      </c>
      <c r="G25" s="117">
        <f t="shared" si="5"/>
        <v>0.59955000000000003</v>
      </c>
      <c r="H25" s="129">
        <f>IF($H$1="DDE",VLOOKUP(A25,'DDE Live Data'!$A$2:$F$29,5,FALSE),"")</f>
        <v>0.59450000000000003</v>
      </c>
      <c r="I25" s="129">
        <f>IF($H$1="DDE",VLOOKUP(A25,'DDE Live Data'!$A$2:$F$29,6,FALSE),"")</f>
        <v>0.60089000000000004</v>
      </c>
    </row>
    <row r="26" spans="1:9" ht="16.5" customHeight="1" x14ac:dyDescent="0.3">
      <c r="A26" s="113" t="s">
        <v>18</v>
      </c>
      <c r="B26" s="114">
        <f>IF($H$1="DDE",VLOOKUP(A26,'DDE Live Data'!$A$2:$D$29,2,FALSE),VLOOKUP(A26,#REF!,2,FALSE))</f>
        <v>43983.631249999999</v>
      </c>
      <c r="C26" s="116">
        <f>IF($H$1="DDE",VLOOKUP(A26,'DDE Live Data'!$A$2:$D$29,3,FALSE),"")</f>
        <v>67.185000000000002</v>
      </c>
      <c r="D26" s="116">
        <f>IF($H$1="DDE",VLOOKUP(A26,'DDE Live Data'!$A$2:$D$29,4,FALSE),"")</f>
        <v>67.188999999999993</v>
      </c>
      <c r="E26" s="115">
        <f t="shared" si="3"/>
        <v>0.39999999999906777</v>
      </c>
      <c r="F26" s="116">
        <f t="shared" si="4"/>
        <v>3.9999999999906777E-3</v>
      </c>
      <c r="G26" s="117">
        <f t="shared" si="5"/>
        <v>67.186999999999998</v>
      </c>
      <c r="H26" s="129">
        <f>IF($H$1="DDE",VLOOKUP(A26,'DDE Live Data'!$A$2:$F$29,5,FALSE),"")</f>
        <v>66.605999999999995</v>
      </c>
      <c r="I26" s="129">
        <f>IF($H$1="DDE",VLOOKUP(A26,'DDE Live Data'!$A$2:$F$29,6,FALSE),"")</f>
        <v>67.334999999999994</v>
      </c>
    </row>
    <row r="27" spans="1:9" ht="16.5" customHeight="1" x14ac:dyDescent="0.3">
      <c r="A27" s="113" t="s">
        <v>24</v>
      </c>
      <c r="B27" s="114">
        <f>IF($H$1="DDE",VLOOKUP(A27,'DDE Live Data'!$A$2:$D$29,2,FALSE),VLOOKUP(A27,#REF!,2,FALSE))</f>
        <v>43983.631249999999</v>
      </c>
      <c r="C27" s="116">
        <f>IF($H$1="DDE",VLOOKUP(A27,'DDE Live Data'!$A$2:$D$29,3,FALSE),"")</f>
        <v>0.62365000000000004</v>
      </c>
      <c r="D27" s="116">
        <f>IF($H$1="DDE",VLOOKUP(A27,'DDE Live Data'!$A$2:$D$29,4,FALSE),"")</f>
        <v>0.62368000000000001</v>
      </c>
      <c r="E27" s="115">
        <f t="shared" si="3"/>
        <v>0.29999999999974492</v>
      </c>
      <c r="F27" s="116">
        <f t="shared" si="4"/>
        <v>2.9999999999974492E-5</v>
      </c>
      <c r="G27" s="117">
        <f t="shared" si="5"/>
        <v>0.62366500000000002</v>
      </c>
      <c r="H27" s="129">
        <f>IF($H$1="DDE",VLOOKUP(A27,'DDE Live Data'!$A$2:$F$29,5,FALSE),"")</f>
        <v>0.61846999999999996</v>
      </c>
      <c r="I27" s="129">
        <f>IF($H$1="DDE",VLOOKUP(A27,'DDE Live Data'!$A$2:$F$29,6,FALSE),"")</f>
        <v>0.62617999999999996</v>
      </c>
    </row>
    <row r="28" spans="1:9" ht="16.5" customHeight="1" x14ac:dyDescent="0.3">
      <c r="A28" s="113" t="s">
        <v>12</v>
      </c>
      <c r="B28" s="114">
        <f>IF($H$1="DDE",VLOOKUP(A28,'DDE Live Data'!$A$2:$D$29,2,FALSE),VLOOKUP(A28,#REF!,2,FALSE))</f>
        <v>43983.631249999999</v>
      </c>
      <c r="C28" s="116">
        <f>IF($H$1="DDE",VLOOKUP(A28,'DDE Live Data'!$A$2:$D$29,3,FALSE),"")</f>
        <v>1.37049</v>
      </c>
      <c r="D28" s="116">
        <f>IF($H$1="DDE",VLOOKUP(A28,'DDE Live Data'!$A$2:$D$29,4,FALSE),"")</f>
        <v>1.3705400000000001</v>
      </c>
      <c r="E28" s="115">
        <f t="shared" si="3"/>
        <v>0.50000000000105516</v>
      </c>
      <c r="F28" s="116">
        <f t="shared" si="4"/>
        <v>5.0000000000105516E-5</v>
      </c>
      <c r="G28" s="117">
        <f t="shared" si="5"/>
        <v>1.3705150000000001</v>
      </c>
      <c r="H28" s="129">
        <f>IF($H$1="DDE",VLOOKUP(A28,'DDE Live Data'!$A$2:$F$29,5,FALSE),"")</f>
        <v>1.3673200000000001</v>
      </c>
      <c r="I28" s="129">
        <f>IF($H$1="DDE",VLOOKUP(A28,'DDE Live Data'!$A$2:$F$29,6,FALSE),"")</f>
        <v>1.3800399999999999</v>
      </c>
    </row>
    <row r="29" spans="1:9" ht="16.5" customHeight="1" x14ac:dyDescent="0.3">
      <c r="A29" s="113" t="s">
        <v>27</v>
      </c>
      <c r="B29" s="114">
        <f>IF($H$1="DDE",VLOOKUP(A29,'DDE Live Data'!$A$2:$D$29,2,FALSE),VLOOKUP(A29,#REF!,2,FALSE))</f>
        <v>43983.631249999999</v>
      </c>
      <c r="C29" s="116">
        <f>IF($H$1="DDE",VLOOKUP(A29,'DDE Live Data'!$A$2:$D$29,3,FALSE),"")</f>
        <v>0.96131999999999995</v>
      </c>
      <c r="D29" s="116">
        <f>IF($H$1="DDE",VLOOKUP(A29,'DDE Live Data'!$A$2:$D$29,4,FALSE),"")</f>
        <v>0.96133999999999997</v>
      </c>
      <c r="E29" s="115">
        <f t="shared" si="3"/>
        <v>0.20000000000020002</v>
      </c>
      <c r="F29" s="116">
        <f t="shared" si="4"/>
        <v>2.0000000000020002E-5</v>
      </c>
      <c r="G29" s="117">
        <f t="shared" si="5"/>
        <v>0.96133000000000002</v>
      </c>
      <c r="H29" s="129">
        <f>IF($H$1="DDE",VLOOKUP(A29,'DDE Live Data'!$A$2:$F$29,5,FALSE),"")</f>
        <v>0.95787999999999995</v>
      </c>
      <c r="I29" s="129">
        <f>IF($H$1="DDE",VLOOKUP(A29,'DDE Live Data'!$A$2:$F$29,6,FALSE),"")</f>
        <v>0.96203000000000005</v>
      </c>
    </row>
    <row r="30" spans="1:9" ht="16.5" customHeight="1" x14ac:dyDescent="0.3">
      <c r="A30" s="113" t="s">
        <v>17</v>
      </c>
      <c r="B30" s="114">
        <f>IF($H$1="DDE",VLOOKUP(A30,'DDE Live Data'!$A$2:$D$29,2,FALSE),VLOOKUP(A30,#REF!,2,FALSE))</f>
        <v>43983.631249999999</v>
      </c>
      <c r="C30" s="116">
        <f>IF($H$1="DDE",VLOOKUP(A30,'DDE Live Data'!$A$2:$D$29,3,FALSE),"")</f>
        <v>107.729</v>
      </c>
      <c r="D30" s="116">
        <f>IF($H$1="DDE",VLOOKUP(A30,'DDE Live Data'!$A$2:$D$29,4,FALSE),"")</f>
        <v>107.729</v>
      </c>
      <c r="E30" s="115">
        <f t="shared" si="3"/>
        <v>0</v>
      </c>
      <c r="F30" s="116">
        <f t="shared" si="4"/>
        <v>0</v>
      </c>
      <c r="G30" s="117">
        <f t="shared" si="5"/>
        <v>107.729</v>
      </c>
      <c r="H30" s="129">
        <f>IF($H$1="DDE",VLOOKUP(A30,'DDE Live Data'!$A$2:$F$29,5,FALSE),"")</f>
        <v>107.38</v>
      </c>
      <c r="I30" s="129">
        <f>IF($H$1="DDE",VLOOKUP(A30,'DDE Live Data'!$A$2:$F$29,6,FALSE),"")</f>
        <v>107.858</v>
      </c>
    </row>
  </sheetData>
  <mergeCells count="3">
    <mergeCell ref="H1:I1"/>
    <mergeCell ref="B1:D1"/>
    <mergeCell ref="E1:G1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R84"/>
  <sheetViews>
    <sheetView workbookViewId="0">
      <selection activeCell="U10" sqref="U10"/>
    </sheetView>
  </sheetViews>
  <sheetFormatPr defaultColWidth="18.88671875" defaultRowHeight="16.5" customHeight="1" x14ac:dyDescent="0.3"/>
  <cols>
    <col min="1" max="1" width="22.44140625" style="21" customWidth="1"/>
    <col min="2" max="2" width="7.109375" style="24" hidden="1" customWidth="1"/>
    <col min="3" max="3" width="7.109375" style="25" hidden="1" customWidth="1"/>
    <col min="4" max="4" width="12.109375" style="26" hidden="1" customWidth="1"/>
    <col min="5" max="5" width="7.6640625" style="27" hidden="1" customWidth="1"/>
    <col min="6" max="6" width="7.6640625" style="26" hidden="1" customWidth="1"/>
    <col min="7" max="9" width="8.77734375" style="21" hidden="1" customWidth="1"/>
    <col min="10" max="11" width="11" style="22" hidden="1" customWidth="1"/>
    <col min="12" max="12" width="23.109375" style="23" customWidth="1"/>
    <col min="13" max="14" width="14.44140625" style="20" hidden="1" customWidth="1"/>
    <col min="15" max="15" width="7.6640625" style="21" hidden="1" customWidth="1"/>
    <col min="16" max="16" width="11" style="22" hidden="1" customWidth="1"/>
    <col min="17" max="17" width="4.33203125" style="21" hidden="1" customWidth="1"/>
    <col min="18" max="18" width="9" style="20" hidden="1" customWidth="1"/>
    <col min="19" max="19" width="20.33203125" style="21" customWidth="1"/>
    <col min="20" max="16384" width="18.88671875" style="21"/>
  </cols>
  <sheetData>
    <row r="1" spans="1:18" s="19" customFormat="1" ht="16.5" customHeight="1" x14ac:dyDescent="0.3">
      <c r="A1" s="100" t="s">
        <v>37</v>
      </c>
      <c r="B1" s="101" t="s">
        <v>52</v>
      </c>
      <c r="C1" s="100" t="s">
        <v>53</v>
      </c>
      <c r="D1" s="102" t="s">
        <v>54</v>
      </c>
      <c r="E1" s="103" t="s">
        <v>55</v>
      </c>
      <c r="F1" s="102" t="s">
        <v>55</v>
      </c>
      <c r="G1" s="104" t="s">
        <v>56</v>
      </c>
      <c r="H1" s="104" t="s">
        <v>57</v>
      </c>
      <c r="I1" s="104" t="s">
        <v>58</v>
      </c>
      <c r="J1" s="105" t="s">
        <v>60</v>
      </c>
      <c r="K1" s="106" t="s">
        <v>59</v>
      </c>
      <c r="L1" s="107" t="s">
        <v>61</v>
      </c>
      <c r="M1" s="17" t="s">
        <v>62</v>
      </c>
      <c r="N1" s="18" t="s">
        <v>63</v>
      </c>
      <c r="O1" s="149" t="s">
        <v>64</v>
      </c>
      <c r="P1" s="149"/>
      <c r="Q1" s="149"/>
      <c r="R1" s="149"/>
    </row>
    <row r="2" spans="1:18" ht="16.5" customHeight="1" x14ac:dyDescent="0.3">
      <c r="A2" s="88" t="s">
        <v>16</v>
      </c>
      <c r="B2" s="89" t="str">
        <f>LEFT(A2,3)</f>
        <v>AUD</v>
      </c>
      <c r="C2" s="90" t="str">
        <f>RIGHT(A2,3)</f>
        <v>CAD</v>
      </c>
      <c r="D2" s="91">
        <v>100000</v>
      </c>
      <c r="E2" s="92">
        <f>IF(F2=FALSE,0.0001,0.01)</f>
        <v>1E-4</v>
      </c>
      <c r="F2" s="91" t="b">
        <f>ISNUMBER(SEARCH("JPY",A2))</f>
        <v>0</v>
      </c>
      <c r="G2" s="93" t="b">
        <f t="shared" ref="G2:G29" si="0">ISNUMBER(SEARCH("USD",A2))</f>
        <v>0</v>
      </c>
      <c r="H2" s="93" t="str">
        <f>IF(B2="USD","TRUE","FALSE")</f>
        <v>FALSE</v>
      </c>
      <c r="I2" s="93" t="str">
        <f>IF(C2="USD","TRUE","FALSE")</f>
        <v>FALSE</v>
      </c>
      <c r="J2" s="94">
        <f>VLOOKUP(A2,'Data Feed'!$A$3:$D$30,3,FALSE)</f>
        <v>0.92381999999999997</v>
      </c>
      <c r="K2" s="95">
        <f>VLOOKUP(A2,'Data Feed'!$A$3:$D$30,4,FALSE)</f>
        <v>0.92386000000000001</v>
      </c>
      <c r="L2" s="108">
        <f>IF(I2="TRUE",D2*E2,(IF(H2="TRUE",(D2*E2)/K2,(IF(G2=FALSE,R2,"")))))</f>
        <v>7.2966603185721892</v>
      </c>
      <c r="M2" s="20" t="str">
        <f t="shared" ref="M2:M29" si="1">IF(I2="TRUE",D2*E2,"")</f>
        <v/>
      </c>
      <c r="N2" s="20" t="str">
        <f t="shared" ref="N2:N29" si="2">IF(H2="TRUE",(D2*E2)/K2,"")</f>
        <v/>
      </c>
      <c r="O2" s="21" t="str">
        <f t="shared" ref="O2:O29" si="3">IF(G2=FALSE,IFERROR(VLOOKUP(C2&amp;"USD",$A$2:$A$29,1,FALSE),"USD"&amp;C2),"")</f>
        <v>USDCAD</v>
      </c>
      <c r="P2" s="22">
        <f t="shared" ref="P2:P29" si="4">IF(O2="","",(IF(LEFT(O2,3)="USD",VLOOKUP(O2,$A$2:$K$29,10,FALSE),VLOOKUP(O2,$A$2:$K$29,11,FALSE))))</f>
        <v>1.37049</v>
      </c>
      <c r="Q2" s="21" t="str">
        <f>IF(O2="","",(IF(LEFT(O2,3)="USD","ASK","BID")))</f>
        <v>ASK</v>
      </c>
      <c r="R2" s="20">
        <f t="shared" ref="R2:R29" si="5">IF(Q2="ASK",(D2*E2/P2),(IF(Q2="BID",((D2*E2)*P2),"")))</f>
        <v>7.2966603185721892</v>
      </c>
    </row>
    <row r="3" spans="1:18" ht="16.5" customHeight="1" x14ac:dyDescent="0.3">
      <c r="A3" s="88" t="s">
        <v>32</v>
      </c>
      <c r="B3" s="89" t="str">
        <f t="shared" ref="B3:B29" si="6">LEFT(A3,3)</f>
        <v>AUD</v>
      </c>
      <c r="C3" s="90" t="str">
        <f t="shared" ref="C3:C29" si="7">RIGHT(A3,3)</f>
        <v>CHF</v>
      </c>
      <c r="D3" s="91">
        <v>100000</v>
      </c>
      <c r="E3" s="92">
        <f t="shared" ref="E3:E29" si="8">IF(F3=FALSE,0.0001,0.01)</f>
        <v>1E-4</v>
      </c>
      <c r="F3" s="91" t="b">
        <f t="shared" ref="F3:F29" si="9">ISNUMBER(SEARCH("JPY",A3))</f>
        <v>0</v>
      </c>
      <c r="G3" s="93" t="b">
        <f t="shared" si="0"/>
        <v>0</v>
      </c>
      <c r="H3" s="93" t="str">
        <f t="shared" ref="H3:I29" si="10">IF(B3="USD","TRUE","FALSE")</f>
        <v>FALSE</v>
      </c>
      <c r="I3" s="93" t="str">
        <f t="shared" si="10"/>
        <v>FALSE</v>
      </c>
      <c r="J3" s="94">
        <f>VLOOKUP(A3,'Data Feed'!$A$3:$D$30,3,FALSE)</f>
        <v>0.64800000000000002</v>
      </c>
      <c r="K3" s="95">
        <f>VLOOKUP(A3,'Data Feed'!$A$3:$D$30,4,FALSE)</f>
        <v>0.64802999999999999</v>
      </c>
      <c r="L3" s="108">
        <f t="shared" ref="L3:L29" si="11">IF(I3="TRUE",D3*E3,(IF(H3="TRUE",(D3*E3)/K3,(IF(G3=FALSE,R3,"")))))</f>
        <v>10.402363416968337</v>
      </c>
      <c r="M3" s="20" t="str">
        <f t="shared" si="1"/>
        <v/>
      </c>
      <c r="N3" s="20" t="str">
        <f t="shared" si="2"/>
        <v/>
      </c>
      <c r="O3" s="21" t="str">
        <f t="shared" si="3"/>
        <v>USDCHF</v>
      </c>
      <c r="P3" s="22">
        <f t="shared" si="4"/>
        <v>0.96131999999999995</v>
      </c>
      <c r="Q3" s="21" t="str">
        <f t="shared" ref="Q3:Q29" si="12">IF(O3="","",(IF(LEFT(O3,3)="USD","ASK","BID")))</f>
        <v>ASK</v>
      </c>
      <c r="R3" s="20">
        <f t="shared" si="5"/>
        <v>10.402363416968337</v>
      </c>
    </row>
    <row r="4" spans="1:18" ht="16.5" customHeight="1" x14ac:dyDescent="0.3">
      <c r="A4" s="88" t="s">
        <v>23</v>
      </c>
      <c r="B4" s="89" t="str">
        <f t="shared" si="6"/>
        <v>AUD</v>
      </c>
      <c r="C4" s="90" t="str">
        <f t="shared" si="7"/>
        <v>JPY</v>
      </c>
      <c r="D4" s="91">
        <v>100000</v>
      </c>
      <c r="E4" s="92">
        <f t="shared" si="8"/>
        <v>0.01</v>
      </c>
      <c r="F4" s="91" t="b">
        <f t="shared" si="9"/>
        <v>1</v>
      </c>
      <c r="G4" s="93" t="b">
        <f t="shared" si="0"/>
        <v>0</v>
      </c>
      <c r="H4" s="93" t="str">
        <f t="shared" si="10"/>
        <v>FALSE</v>
      </c>
      <c r="I4" s="93" t="str">
        <f t="shared" si="10"/>
        <v>FALSE</v>
      </c>
      <c r="J4" s="94">
        <f>VLOOKUP(A4,'Data Feed'!$A$3:$D$30,3,FALSE)</f>
        <v>72.616</v>
      </c>
      <c r="K4" s="95">
        <f>VLOOKUP(A4,'Data Feed'!$A$3:$D$30,4,FALSE)</f>
        <v>72.619</v>
      </c>
      <c r="L4" s="108">
        <f t="shared" si="11"/>
        <v>9.2825515877804499</v>
      </c>
      <c r="M4" s="20" t="str">
        <f t="shared" si="1"/>
        <v/>
      </c>
      <c r="N4" s="20" t="str">
        <f t="shared" si="2"/>
        <v/>
      </c>
      <c r="O4" s="21" t="str">
        <f t="shared" si="3"/>
        <v>USDJPY</v>
      </c>
      <c r="P4" s="22">
        <f t="shared" si="4"/>
        <v>107.729</v>
      </c>
      <c r="Q4" s="21" t="str">
        <f t="shared" si="12"/>
        <v>ASK</v>
      </c>
      <c r="R4" s="20">
        <f t="shared" si="5"/>
        <v>9.2825515877804499</v>
      </c>
    </row>
    <row r="5" spans="1:18" ht="16.5" customHeight="1" x14ac:dyDescent="0.3">
      <c r="A5" s="88" t="s">
        <v>9</v>
      </c>
      <c r="B5" s="89" t="str">
        <f t="shared" si="6"/>
        <v>AUD</v>
      </c>
      <c r="C5" s="90" t="str">
        <f t="shared" si="7"/>
        <v>NZD</v>
      </c>
      <c r="D5" s="91">
        <v>100000</v>
      </c>
      <c r="E5" s="92">
        <f t="shared" si="8"/>
        <v>1E-4</v>
      </c>
      <c r="F5" s="91" t="b">
        <f t="shared" si="9"/>
        <v>0</v>
      </c>
      <c r="G5" s="93" t="b">
        <f t="shared" si="0"/>
        <v>0</v>
      </c>
      <c r="H5" s="93" t="str">
        <f t="shared" si="10"/>
        <v>FALSE</v>
      </c>
      <c r="I5" s="93" t="str">
        <f t="shared" si="10"/>
        <v>FALSE</v>
      </c>
      <c r="J5" s="94">
        <f>VLOOKUP(A5,'Data Feed'!$A$3:$D$30,3,FALSE)</f>
        <v>1.08084</v>
      </c>
      <c r="K5" s="95">
        <f>VLOOKUP(A5,'Data Feed'!$A$3:$D$30,4,FALSE)</f>
        <v>1.0809</v>
      </c>
      <c r="L5" s="108">
        <f t="shared" si="11"/>
        <v>6.2368000000000006</v>
      </c>
      <c r="M5" s="20" t="str">
        <f t="shared" si="1"/>
        <v/>
      </c>
      <c r="N5" s="20" t="str">
        <f t="shared" si="2"/>
        <v/>
      </c>
      <c r="O5" s="21" t="str">
        <f t="shared" si="3"/>
        <v>NZDUSD</v>
      </c>
      <c r="P5" s="22">
        <f t="shared" si="4"/>
        <v>0.62368000000000001</v>
      </c>
      <c r="Q5" s="21" t="str">
        <f t="shared" si="12"/>
        <v>BID</v>
      </c>
      <c r="R5" s="20">
        <f t="shared" si="5"/>
        <v>6.2368000000000006</v>
      </c>
    </row>
    <row r="6" spans="1:18" ht="16.5" customHeight="1" x14ac:dyDescent="0.3">
      <c r="A6" s="88" t="s">
        <v>26</v>
      </c>
      <c r="B6" s="89" t="str">
        <f t="shared" si="6"/>
        <v>AUD</v>
      </c>
      <c r="C6" s="90" t="str">
        <f t="shared" si="7"/>
        <v>USD</v>
      </c>
      <c r="D6" s="91">
        <v>100000</v>
      </c>
      <c r="E6" s="92">
        <f t="shared" si="8"/>
        <v>1E-4</v>
      </c>
      <c r="F6" s="91" t="b">
        <f t="shared" si="9"/>
        <v>0</v>
      </c>
      <c r="G6" s="93" t="b">
        <f t="shared" si="0"/>
        <v>1</v>
      </c>
      <c r="H6" s="93" t="str">
        <f t="shared" si="10"/>
        <v>FALSE</v>
      </c>
      <c r="I6" s="93" t="str">
        <f t="shared" si="10"/>
        <v>TRUE</v>
      </c>
      <c r="J6" s="94">
        <f>VLOOKUP(A6,'Data Feed'!$A$3:$D$30,3,FALSE)</f>
        <v>0.67406999999999995</v>
      </c>
      <c r="K6" s="95">
        <f>VLOOKUP(A6,'Data Feed'!$A$3:$D$30,4,FALSE)</f>
        <v>0.67410000000000003</v>
      </c>
      <c r="L6" s="108">
        <f t="shared" si="11"/>
        <v>10</v>
      </c>
      <c r="M6" s="20">
        <f t="shared" si="1"/>
        <v>10</v>
      </c>
      <c r="N6" s="20" t="str">
        <f t="shared" si="2"/>
        <v/>
      </c>
      <c r="O6" s="21" t="str">
        <f t="shared" si="3"/>
        <v/>
      </c>
      <c r="P6" s="22" t="str">
        <f t="shared" si="4"/>
        <v/>
      </c>
      <c r="Q6" s="21" t="str">
        <f t="shared" si="12"/>
        <v/>
      </c>
      <c r="R6" s="20" t="str">
        <f t="shared" si="5"/>
        <v/>
      </c>
    </row>
    <row r="7" spans="1:18" ht="16.5" customHeight="1" x14ac:dyDescent="0.3">
      <c r="A7" s="88" t="s">
        <v>31</v>
      </c>
      <c r="B7" s="89" t="str">
        <f t="shared" si="6"/>
        <v>CAD</v>
      </c>
      <c r="C7" s="90" t="str">
        <f t="shared" si="7"/>
        <v>CHF</v>
      </c>
      <c r="D7" s="91">
        <v>100000</v>
      </c>
      <c r="E7" s="92">
        <f t="shared" si="8"/>
        <v>1E-4</v>
      </c>
      <c r="F7" s="91" t="b">
        <f t="shared" si="9"/>
        <v>0</v>
      </c>
      <c r="G7" s="93" t="b">
        <f t="shared" si="0"/>
        <v>0</v>
      </c>
      <c r="H7" s="93" t="str">
        <f t="shared" si="10"/>
        <v>FALSE</v>
      </c>
      <c r="I7" s="93" t="str">
        <f t="shared" si="10"/>
        <v>FALSE</v>
      </c>
      <c r="J7" s="94">
        <f>VLOOKUP(A7,'Data Feed'!$A$3:$D$30,3,FALSE)</f>
        <v>0.70142000000000004</v>
      </c>
      <c r="K7" s="95">
        <f>VLOOKUP(A7,'Data Feed'!$A$3:$D$30,4,FALSE)</f>
        <v>0.70145000000000002</v>
      </c>
      <c r="L7" s="108">
        <f t="shared" si="11"/>
        <v>10.402363416968337</v>
      </c>
      <c r="M7" s="20" t="str">
        <f t="shared" si="1"/>
        <v/>
      </c>
      <c r="N7" s="20" t="str">
        <f t="shared" si="2"/>
        <v/>
      </c>
      <c r="O7" s="21" t="str">
        <f t="shared" si="3"/>
        <v>USDCHF</v>
      </c>
      <c r="P7" s="22">
        <f t="shared" si="4"/>
        <v>0.96131999999999995</v>
      </c>
      <c r="Q7" s="21" t="str">
        <f t="shared" si="12"/>
        <v>ASK</v>
      </c>
      <c r="R7" s="20">
        <f t="shared" si="5"/>
        <v>10.402363416968337</v>
      </c>
    </row>
    <row r="8" spans="1:18" ht="16.5" customHeight="1" x14ac:dyDescent="0.3">
      <c r="A8" s="88" t="s">
        <v>22</v>
      </c>
      <c r="B8" s="89" t="str">
        <f t="shared" si="6"/>
        <v>CAD</v>
      </c>
      <c r="C8" s="90" t="str">
        <f t="shared" si="7"/>
        <v>JPY</v>
      </c>
      <c r="D8" s="91">
        <v>100000</v>
      </c>
      <c r="E8" s="92">
        <f t="shared" si="8"/>
        <v>0.01</v>
      </c>
      <c r="F8" s="91" t="b">
        <f t="shared" si="9"/>
        <v>1</v>
      </c>
      <c r="G8" s="93" t="b">
        <f t="shared" si="0"/>
        <v>0</v>
      </c>
      <c r="H8" s="93" t="str">
        <f t="shared" si="10"/>
        <v>FALSE</v>
      </c>
      <c r="I8" s="93" t="str">
        <f t="shared" si="10"/>
        <v>FALSE</v>
      </c>
      <c r="J8" s="94">
        <f>VLOOKUP(A8,'Data Feed'!$A$3:$D$30,3,FALSE)</f>
        <v>78.603999999999999</v>
      </c>
      <c r="K8" s="95">
        <f>VLOOKUP(A8,'Data Feed'!$A$3:$D$30,4,FALSE)</f>
        <v>78.605999999999995</v>
      </c>
      <c r="L8" s="108">
        <f t="shared" si="11"/>
        <v>9.2825515877804499</v>
      </c>
      <c r="M8" s="20" t="str">
        <f t="shared" si="1"/>
        <v/>
      </c>
      <c r="N8" s="20" t="str">
        <f t="shared" si="2"/>
        <v/>
      </c>
      <c r="O8" s="21" t="str">
        <f t="shared" si="3"/>
        <v>USDJPY</v>
      </c>
      <c r="P8" s="22">
        <f t="shared" si="4"/>
        <v>107.729</v>
      </c>
      <c r="Q8" s="21" t="str">
        <f t="shared" si="12"/>
        <v>ASK</v>
      </c>
      <c r="R8" s="20">
        <f t="shared" si="5"/>
        <v>9.2825515877804499</v>
      </c>
    </row>
    <row r="9" spans="1:18" ht="16.5" customHeight="1" x14ac:dyDescent="0.3">
      <c r="A9" s="88" t="s">
        <v>21</v>
      </c>
      <c r="B9" s="89" t="str">
        <f t="shared" si="6"/>
        <v>CHF</v>
      </c>
      <c r="C9" s="90" t="str">
        <f t="shared" si="7"/>
        <v>JPY</v>
      </c>
      <c r="D9" s="91">
        <v>100000</v>
      </c>
      <c r="E9" s="92">
        <f t="shared" si="8"/>
        <v>0.01</v>
      </c>
      <c r="F9" s="91" t="b">
        <f t="shared" si="9"/>
        <v>1</v>
      </c>
      <c r="G9" s="93" t="b">
        <f t="shared" si="0"/>
        <v>0</v>
      </c>
      <c r="H9" s="93" t="str">
        <f t="shared" si="10"/>
        <v>FALSE</v>
      </c>
      <c r="I9" s="93" t="str">
        <f t="shared" si="10"/>
        <v>FALSE</v>
      </c>
      <c r="J9" s="94">
        <f>VLOOKUP(A9,'Data Feed'!$A$3:$D$30,3,FALSE)</f>
        <v>112.059</v>
      </c>
      <c r="K9" s="95">
        <f>VLOOKUP(A9,'Data Feed'!$A$3:$D$30,4,FALSE)</f>
        <v>112.063</v>
      </c>
      <c r="L9" s="108">
        <f t="shared" si="11"/>
        <v>9.2825515877804499</v>
      </c>
      <c r="M9" s="20" t="str">
        <f t="shared" si="1"/>
        <v/>
      </c>
      <c r="N9" s="20" t="str">
        <f t="shared" si="2"/>
        <v/>
      </c>
      <c r="O9" s="21" t="str">
        <f t="shared" si="3"/>
        <v>USDJPY</v>
      </c>
      <c r="P9" s="22">
        <f t="shared" si="4"/>
        <v>107.729</v>
      </c>
      <c r="Q9" s="21" t="str">
        <f t="shared" si="12"/>
        <v>ASK</v>
      </c>
      <c r="R9" s="20">
        <f t="shared" si="5"/>
        <v>9.2825515877804499</v>
      </c>
    </row>
    <row r="10" spans="1:18" ht="16.5" customHeight="1" x14ac:dyDescent="0.3">
      <c r="A10" s="88" t="s">
        <v>11</v>
      </c>
      <c r="B10" s="89" t="str">
        <f t="shared" si="6"/>
        <v>EUR</v>
      </c>
      <c r="C10" s="90" t="str">
        <f t="shared" si="7"/>
        <v>AUD</v>
      </c>
      <c r="D10" s="91">
        <v>100000</v>
      </c>
      <c r="E10" s="92">
        <f t="shared" si="8"/>
        <v>1E-4</v>
      </c>
      <c r="F10" s="91" t="b">
        <f t="shared" si="9"/>
        <v>0</v>
      </c>
      <c r="G10" s="93" t="b">
        <f t="shared" si="0"/>
        <v>0</v>
      </c>
      <c r="H10" s="93" t="str">
        <f t="shared" si="10"/>
        <v>FALSE</v>
      </c>
      <c r="I10" s="93" t="str">
        <f t="shared" si="10"/>
        <v>FALSE</v>
      </c>
      <c r="J10" s="94">
        <f>VLOOKUP(A10,'Data Feed'!$A$3:$D$30,3,FALSE)</f>
        <v>1.649</v>
      </c>
      <c r="K10" s="95">
        <f>VLOOKUP(A10,'Data Feed'!$A$3:$D$30,4,FALSE)</f>
        <v>1.6490199999999999</v>
      </c>
      <c r="L10" s="108">
        <f>IF(I10="TRUE",D10*E10,(IF(H10="TRUE",(D10*E10)/K10,(IF(G10=FALSE,R10,"")))))</f>
        <v>6.7410000000000005</v>
      </c>
      <c r="M10" s="20" t="str">
        <f t="shared" si="1"/>
        <v/>
      </c>
      <c r="N10" s="20" t="str">
        <f t="shared" si="2"/>
        <v/>
      </c>
      <c r="O10" s="21" t="str">
        <f t="shared" si="3"/>
        <v>AUDUSD</v>
      </c>
      <c r="P10" s="22">
        <f t="shared" si="4"/>
        <v>0.67410000000000003</v>
      </c>
      <c r="Q10" s="21" t="str">
        <f t="shared" si="12"/>
        <v>BID</v>
      </c>
      <c r="R10" s="20">
        <f t="shared" si="5"/>
        <v>6.7410000000000005</v>
      </c>
    </row>
    <row r="11" spans="1:18" ht="16.5" customHeight="1" x14ac:dyDescent="0.3">
      <c r="A11" s="88" t="s">
        <v>15</v>
      </c>
      <c r="B11" s="89" t="str">
        <f t="shared" si="6"/>
        <v>EUR</v>
      </c>
      <c r="C11" s="90" t="str">
        <f t="shared" si="7"/>
        <v>CAD</v>
      </c>
      <c r="D11" s="91">
        <v>100000</v>
      </c>
      <c r="E11" s="92">
        <f t="shared" si="8"/>
        <v>1E-4</v>
      </c>
      <c r="F11" s="91" t="b">
        <f t="shared" si="9"/>
        <v>0</v>
      </c>
      <c r="G11" s="93" t="b">
        <f t="shared" si="0"/>
        <v>0</v>
      </c>
      <c r="H11" s="93" t="str">
        <f t="shared" si="10"/>
        <v>FALSE</v>
      </c>
      <c r="I11" s="93" t="str">
        <f t="shared" si="10"/>
        <v>FALSE</v>
      </c>
      <c r="J11" s="94">
        <f>VLOOKUP(A11,'Data Feed'!$A$3:$D$30,3,FALSE)</f>
        <v>1.5234099999999999</v>
      </c>
      <c r="K11" s="95">
        <f>VLOOKUP(A11,'Data Feed'!$A$3:$D$30,4,FALSE)</f>
        <v>1.52345</v>
      </c>
      <c r="L11" s="108">
        <f t="shared" si="11"/>
        <v>7.2966603185721892</v>
      </c>
      <c r="M11" s="20" t="str">
        <f t="shared" si="1"/>
        <v/>
      </c>
      <c r="N11" s="20" t="str">
        <f t="shared" si="2"/>
        <v/>
      </c>
      <c r="O11" s="21" t="str">
        <f t="shared" si="3"/>
        <v>USDCAD</v>
      </c>
      <c r="P11" s="22">
        <f t="shared" si="4"/>
        <v>1.37049</v>
      </c>
      <c r="Q11" s="21" t="str">
        <f t="shared" si="12"/>
        <v>ASK</v>
      </c>
      <c r="R11" s="20">
        <f t="shared" si="5"/>
        <v>7.2966603185721892</v>
      </c>
    </row>
    <row r="12" spans="1:18" ht="16.5" customHeight="1" x14ac:dyDescent="0.3">
      <c r="A12" s="88" t="s">
        <v>30</v>
      </c>
      <c r="B12" s="89" t="str">
        <f t="shared" si="6"/>
        <v>EUR</v>
      </c>
      <c r="C12" s="90" t="str">
        <f t="shared" si="7"/>
        <v>CHF</v>
      </c>
      <c r="D12" s="91">
        <v>100000</v>
      </c>
      <c r="E12" s="92">
        <f t="shared" si="8"/>
        <v>1E-4</v>
      </c>
      <c r="F12" s="91" t="b">
        <f t="shared" si="9"/>
        <v>0</v>
      </c>
      <c r="G12" s="93" t="b">
        <f t="shared" si="0"/>
        <v>0</v>
      </c>
      <c r="H12" s="93" t="str">
        <f t="shared" si="10"/>
        <v>FALSE</v>
      </c>
      <c r="I12" s="93" t="str">
        <f t="shared" si="10"/>
        <v>FALSE</v>
      </c>
      <c r="J12" s="94">
        <f>VLOOKUP(A12,'Data Feed'!$A$3:$D$30,3,FALSE)</f>
        <v>1.06857</v>
      </c>
      <c r="K12" s="95">
        <f>VLOOKUP(A12,'Data Feed'!$A$3:$D$30,4,FALSE)</f>
        <v>1.0686</v>
      </c>
      <c r="L12" s="108">
        <f t="shared" si="11"/>
        <v>10.402363416968337</v>
      </c>
      <c r="M12" s="20" t="str">
        <f t="shared" si="1"/>
        <v/>
      </c>
      <c r="N12" s="20" t="str">
        <f t="shared" si="2"/>
        <v/>
      </c>
      <c r="O12" s="21" t="str">
        <f t="shared" si="3"/>
        <v>USDCHF</v>
      </c>
      <c r="P12" s="22">
        <f t="shared" si="4"/>
        <v>0.96131999999999995</v>
      </c>
      <c r="Q12" s="21" t="str">
        <f t="shared" si="12"/>
        <v>ASK</v>
      </c>
      <c r="R12" s="20">
        <f t="shared" si="5"/>
        <v>10.402363416968337</v>
      </c>
    </row>
    <row r="13" spans="1:18" ht="16.5" customHeight="1" x14ac:dyDescent="0.3">
      <c r="A13" s="88" t="s">
        <v>33</v>
      </c>
      <c r="B13" s="89" t="str">
        <f t="shared" si="6"/>
        <v>EUR</v>
      </c>
      <c r="C13" s="90" t="str">
        <f t="shared" si="7"/>
        <v>GBP</v>
      </c>
      <c r="D13" s="91">
        <v>100000</v>
      </c>
      <c r="E13" s="92">
        <f t="shared" si="8"/>
        <v>1E-4</v>
      </c>
      <c r="F13" s="91" t="b">
        <f t="shared" si="9"/>
        <v>0</v>
      </c>
      <c r="G13" s="93" t="b">
        <f t="shared" si="0"/>
        <v>0</v>
      </c>
      <c r="H13" s="93" t="str">
        <f t="shared" si="10"/>
        <v>FALSE</v>
      </c>
      <c r="I13" s="93" t="str">
        <f t="shared" si="10"/>
        <v>FALSE</v>
      </c>
      <c r="J13" s="94">
        <f>VLOOKUP(A13,'Data Feed'!$A$3:$D$30,3,FALSE)</f>
        <v>0.89686999999999995</v>
      </c>
      <c r="K13" s="95">
        <f>VLOOKUP(A13,'Data Feed'!$A$3:$D$30,4,FALSE)</f>
        <v>0.89688999999999997</v>
      </c>
      <c r="L13" s="108">
        <f t="shared" si="11"/>
        <v>12.394099999999998</v>
      </c>
      <c r="M13" s="20" t="str">
        <f t="shared" si="1"/>
        <v/>
      </c>
      <c r="N13" s="20" t="str">
        <f t="shared" si="2"/>
        <v/>
      </c>
      <c r="O13" s="21" t="str">
        <f t="shared" si="3"/>
        <v>GBPUSD</v>
      </c>
      <c r="P13" s="22">
        <f t="shared" si="4"/>
        <v>1.2394099999999999</v>
      </c>
      <c r="Q13" s="21" t="str">
        <f t="shared" si="12"/>
        <v>BID</v>
      </c>
      <c r="R13" s="20">
        <f t="shared" si="5"/>
        <v>12.394099999999998</v>
      </c>
    </row>
    <row r="14" spans="1:18" ht="16.5" customHeight="1" x14ac:dyDescent="0.3">
      <c r="A14" s="88" t="s">
        <v>20</v>
      </c>
      <c r="B14" s="89" t="str">
        <f t="shared" si="6"/>
        <v>EUR</v>
      </c>
      <c r="C14" s="90" t="str">
        <f t="shared" si="7"/>
        <v>JPY</v>
      </c>
      <c r="D14" s="91">
        <v>100000</v>
      </c>
      <c r="E14" s="92">
        <f t="shared" si="8"/>
        <v>0.01</v>
      </c>
      <c r="F14" s="91" t="b">
        <f t="shared" si="9"/>
        <v>1</v>
      </c>
      <c r="G14" s="93" t="b">
        <f t="shared" si="0"/>
        <v>0</v>
      </c>
      <c r="H14" s="93" t="str">
        <f t="shared" si="10"/>
        <v>FALSE</v>
      </c>
      <c r="I14" s="93" t="str">
        <f t="shared" si="10"/>
        <v>FALSE</v>
      </c>
      <c r="J14" s="94">
        <f>VLOOKUP(A14,'Data Feed'!$A$3:$D$30,3,FALSE)</f>
        <v>119.748</v>
      </c>
      <c r="K14" s="95">
        <f>VLOOKUP(A14,'Data Feed'!$A$3:$D$30,4,FALSE)</f>
        <v>119.749</v>
      </c>
      <c r="L14" s="108">
        <f t="shared" si="11"/>
        <v>9.2825515877804499</v>
      </c>
      <c r="M14" s="20" t="str">
        <f t="shared" si="1"/>
        <v/>
      </c>
      <c r="N14" s="20" t="str">
        <f t="shared" si="2"/>
        <v/>
      </c>
      <c r="O14" s="21" t="str">
        <f t="shared" si="3"/>
        <v>USDJPY</v>
      </c>
      <c r="P14" s="22">
        <f t="shared" si="4"/>
        <v>107.729</v>
      </c>
      <c r="Q14" s="21" t="str">
        <f t="shared" si="12"/>
        <v>ASK</v>
      </c>
      <c r="R14" s="20">
        <f t="shared" si="5"/>
        <v>9.2825515877804499</v>
      </c>
    </row>
    <row r="15" spans="1:18" ht="16.5" customHeight="1" x14ac:dyDescent="0.3">
      <c r="A15" s="88" t="s">
        <v>8</v>
      </c>
      <c r="B15" s="89" t="str">
        <f t="shared" si="6"/>
        <v>EUR</v>
      </c>
      <c r="C15" s="90" t="str">
        <f t="shared" si="7"/>
        <v>NZD</v>
      </c>
      <c r="D15" s="91">
        <v>100000</v>
      </c>
      <c r="E15" s="92">
        <f t="shared" si="8"/>
        <v>1E-4</v>
      </c>
      <c r="F15" s="91" t="b">
        <f t="shared" si="9"/>
        <v>0</v>
      </c>
      <c r="G15" s="93" t="b">
        <f t="shared" si="0"/>
        <v>0</v>
      </c>
      <c r="H15" s="93" t="str">
        <f t="shared" si="10"/>
        <v>FALSE</v>
      </c>
      <c r="I15" s="93" t="str">
        <f t="shared" si="10"/>
        <v>FALSE</v>
      </c>
      <c r="J15" s="94">
        <f>VLOOKUP(A15,'Data Feed'!$A$3:$D$30,3,FALSE)</f>
        <v>1.78226</v>
      </c>
      <c r="K15" s="95">
        <f>VLOOKUP(A15,'Data Feed'!$A$3:$D$30,4,FALSE)</f>
        <v>1.78237</v>
      </c>
      <c r="L15" s="108">
        <f t="shared" si="11"/>
        <v>6.2368000000000006</v>
      </c>
      <c r="M15" s="20" t="str">
        <f t="shared" si="1"/>
        <v/>
      </c>
      <c r="N15" s="20" t="str">
        <f t="shared" si="2"/>
        <v/>
      </c>
      <c r="O15" s="21" t="str">
        <f t="shared" si="3"/>
        <v>NZDUSD</v>
      </c>
      <c r="P15" s="22">
        <f t="shared" si="4"/>
        <v>0.62368000000000001</v>
      </c>
      <c r="Q15" s="21" t="str">
        <f t="shared" si="12"/>
        <v>BID</v>
      </c>
      <c r="R15" s="20">
        <f t="shared" si="5"/>
        <v>6.2368000000000006</v>
      </c>
    </row>
    <row r="16" spans="1:18" ht="16.5" customHeight="1" x14ac:dyDescent="0.3">
      <c r="A16" s="88" t="s">
        <v>6</v>
      </c>
      <c r="B16" s="89" t="str">
        <f t="shared" si="6"/>
        <v>EUR</v>
      </c>
      <c r="C16" s="90" t="str">
        <f t="shared" si="7"/>
        <v>USD</v>
      </c>
      <c r="D16" s="91">
        <v>100000</v>
      </c>
      <c r="E16" s="92">
        <f t="shared" si="8"/>
        <v>1E-4</v>
      </c>
      <c r="F16" s="91" t="b">
        <f t="shared" si="9"/>
        <v>0</v>
      </c>
      <c r="G16" s="93" t="b">
        <f t="shared" si="0"/>
        <v>1</v>
      </c>
      <c r="H16" s="93" t="str">
        <f t="shared" si="10"/>
        <v>FALSE</v>
      </c>
      <c r="I16" s="93" t="str">
        <f t="shared" si="10"/>
        <v>TRUE</v>
      </c>
      <c r="J16" s="94">
        <f>VLOOKUP(A16,'Data Feed'!$A$3:$D$30,3,FALSE)</f>
        <v>1.11158</v>
      </c>
      <c r="K16" s="95">
        <f>VLOOKUP(A16,'Data Feed'!$A$3:$D$30,4,FALSE)</f>
        <v>1.11158</v>
      </c>
      <c r="L16" s="108">
        <f t="shared" si="11"/>
        <v>10</v>
      </c>
      <c r="M16" s="20">
        <f t="shared" si="1"/>
        <v>10</v>
      </c>
      <c r="N16" s="20" t="str">
        <f t="shared" si="2"/>
        <v/>
      </c>
      <c r="O16" s="21" t="str">
        <f t="shared" si="3"/>
        <v/>
      </c>
      <c r="P16" s="22" t="str">
        <f t="shared" si="4"/>
        <v/>
      </c>
      <c r="Q16" s="21" t="str">
        <f t="shared" si="12"/>
        <v/>
      </c>
      <c r="R16" s="20" t="str">
        <f t="shared" si="5"/>
        <v/>
      </c>
    </row>
    <row r="17" spans="1:18" ht="16.5" customHeight="1" x14ac:dyDescent="0.3">
      <c r="A17" s="88" t="s">
        <v>10</v>
      </c>
      <c r="B17" s="89" t="str">
        <f t="shared" si="6"/>
        <v>GBP</v>
      </c>
      <c r="C17" s="90" t="str">
        <f t="shared" si="7"/>
        <v>AUD</v>
      </c>
      <c r="D17" s="91">
        <v>100000</v>
      </c>
      <c r="E17" s="92">
        <f t="shared" si="8"/>
        <v>1E-4</v>
      </c>
      <c r="F17" s="91" t="b">
        <f t="shared" si="9"/>
        <v>0</v>
      </c>
      <c r="G17" s="93" t="b">
        <f t="shared" si="0"/>
        <v>0</v>
      </c>
      <c r="H17" s="93" t="str">
        <f t="shared" si="10"/>
        <v>FALSE</v>
      </c>
      <c r="I17" s="93" t="str">
        <f t="shared" si="10"/>
        <v>FALSE</v>
      </c>
      <c r="J17" s="94">
        <f>VLOOKUP(A17,'Data Feed'!$A$3:$D$30,3,FALSE)</f>
        <v>1.8386100000000001</v>
      </c>
      <c r="K17" s="95">
        <f>VLOOKUP(A17,'Data Feed'!$A$3:$D$30,4,FALSE)</f>
        <v>1.83866</v>
      </c>
      <c r="L17" s="108">
        <f t="shared" si="11"/>
        <v>6.7410000000000005</v>
      </c>
      <c r="M17" s="20" t="str">
        <f t="shared" si="1"/>
        <v/>
      </c>
      <c r="N17" s="20" t="str">
        <f t="shared" si="2"/>
        <v/>
      </c>
      <c r="O17" s="21" t="str">
        <f t="shared" si="3"/>
        <v>AUDUSD</v>
      </c>
      <c r="P17" s="22">
        <f t="shared" si="4"/>
        <v>0.67410000000000003</v>
      </c>
      <c r="Q17" s="21" t="str">
        <f t="shared" si="12"/>
        <v>BID</v>
      </c>
      <c r="R17" s="20">
        <f t="shared" si="5"/>
        <v>6.7410000000000005</v>
      </c>
    </row>
    <row r="18" spans="1:18" ht="16.5" customHeight="1" x14ac:dyDescent="0.3">
      <c r="A18" s="88" t="s">
        <v>14</v>
      </c>
      <c r="B18" s="89" t="str">
        <f t="shared" si="6"/>
        <v>GBP</v>
      </c>
      <c r="C18" s="90" t="str">
        <f t="shared" si="7"/>
        <v>CAD</v>
      </c>
      <c r="D18" s="91">
        <v>100000</v>
      </c>
      <c r="E18" s="92">
        <f t="shared" si="8"/>
        <v>1E-4</v>
      </c>
      <c r="F18" s="91" t="b">
        <f t="shared" si="9"/>
        <v>0</v>
      </c>
      <c r="G18" s="93" t="b">
        <f t="shared" si="0"/>
        <v>0</v>
      </c>
      <c r="H18" s="93" t="str">
        <f t="shared" si="10"/>
        <v>FALSE</v>
      </c>
      <c r="I18" s="93" t="str">
        <f t="shared" si="10"/>
        <v>FALSE</v>
      </c>
      <c r="J18" s="94">
        <f>VLOOKUP(A18,'Data Feed'!$A$3:$D$30,3,FALSE)</f>
        <v>1.6986000000000001</v>
      </c>
      <c r="K18" s="95">
        <f>VLOOKUP(A18,'Data Feed'!$A$3:$D$30,4,FALSE)</f>
        <v>1.6986399999999999</v>
      </c>
      <c r="L18" s="108">
        <f t="shared" si="11"/>
        <v>7.2966603185721892</v>
      </c>
      <c r="M18" s="20" t="str">
        <f t="shared" si="1"/>
        <v/>
      </c>
      <c r="N18" s="20" t="str">
        <f t="shared" si="2"/>
        <v/>
      </c>
      <c r="O18" s="21" t="str">
        <f t="shared" si="3"/>
        <v>USDCAD</v>
      </c>
      <c r="P18" s="22">
        <f t="shared" si="4"/>
        <v>1.37049</v>
      </c>
      <c r="Q18" s="21" t="str">
        <f t="shared" si="12"/>
        <v>ASK</v>
      </c>
      <c r="R18" s="20">
        <f t="shared" si="5"/>
        <v>7.2966603185721892</v>
      </c>
    </row>
    <row r="19" spans="1:18" ht="16.5" customHeight="1" x14ac:dyDescent="0.3">
      <c r="A19" s="88" t="s">
        <v>29</v>
      </c>
      <c r="B19" s="89" t="str">
        <f t="shared" si="6"/>
        <v>GBP</v>
      </c>
      <c r="C19" s="90" t="str">
        <f t="shared" si="7"/>
        <v>CHF</v>
      </c>
      <c r="D19" s="91">
        <v>100000</v>
      </c>
      <c r="E19" s="92">
        <f t="shared" si="8"/>
        <v>1E-4</v>
      </c>
      <c r="F19" s="91" t="b">
        <f t="shared" si="9"/>
        <v>0</v>
      </c>
      <c r="G19" s="93" t="b">
        <f t="shared" si="0"/>
        <v>0</v>
      </c>
      <c r="H19" s="93" t="str">
        <f t="shared" si="10"/>
        <v>FALSE</v>
      </c>
      <c r="I19" s="93" t="str">
        <f t="shared" si="10"/>
        <v>FALSE</v>
      </c>
      <c r="J19" s="94">
        <f>VLOOKUP(A19,'Data Feed'!$A$3:$D$30,3,FALSE)</f>
        <v>1.1914400000000001</v>
      </c>
      <c r="K19" s="95">
        <f>VLOOKUP(A19,'Data Feed'!$A$3:$D$30,4,FALSE)</f>
        <v>1.1915</v>
      </c>
      <c r="L19" s="108">
        <f t="shared" si="11"/>
        <v>10.402363416968337</v>
      </c>
      <c r="M19" s="20" t="str">
        <f t="shared" si="1"/>
        <v/>
      </c>
      <c r="N19" s="20" t="str">
        <f t="shared" si="2"/>
        <v/>
      </c>
      <c r="O19" s="21" t="str">
        <f t="shared" si="3"/>
        <v>USDCHF</v>
      </c>
      <c r="P19" s="22">
        <f t="shared" si="4"/>
        <v>0.96131999999999995</v>
      </c>
      <c r="Q19" s="21" t="str">
        <f t="shared" si="12"/>
        <v>ASK</v>
      </c>
      <c r="R19" s="20">
        <f t="shared" si="5"/>
        <v>10.402363416968337</v>
      </c>
    </row>
    <row r="20" spans="1:18" ht="16.5" customHeight="1" x14ac:dyDescent="0.3">
      <c r="A20" s="88" t="s">
        <v>19</v>
      </c>
      <c r="B20" s="89" t="str">
        <f t="shared" si="6"/>
        <v>GBP</v>
      </c>
      <c r="C20" s="90" t="str">
        <f t="shared" si="7"/>
        <v>JPY</v>
      </c>
      <c r="D20" s="91">
        <v>100000</v>
      </c>
      <c r="E20" s="92">
        <f t="shared" si="8"/>
        <v>0.01</v>
      </c>
      <c r="F20" s="91" t="b">
        <f t="shared" si="9"/>
        <v>1</v>
      </c>
      <c r="G20" s="93" t="b">
        <f t="shared" si="0"/>
        <v>0</v>
      </c>
      <c r="H20" s="93" t="str">
        <f t="shared" si="10"/>
        <v>FALSE</v>
      </c>
      <c r="I20" s="93" t="str">
        <f t="shared" si="10"/>
        <v>FALSE</v>
      </c>
      <c r="J20" s="94">
        <f>VLOOKUP(A20,'Data Feed'!$A$3:$D$30,3,FALSE)</f>
        <v>133.51400000000001</v>
      </c>
      <c r="K20" s="95">
        <f>VLOOKUP(A20,'Data Feed'!$A$3:$D$30,4,FALSE)</f>
        <v>133.51599999999999</v>
      </c>
      <c r="L20" s="108">
        <f t="shared" si="11"/>
        <v>9.2825515877804499</v>
      </c>
      <c r="M20" s="20" t="str">
        <f t="shared" si="1"/>
        <v/>
      </c>
      <c r="N20" s="20" t="str">
        <f t="shared" si="2"/>
        <v/>
      </c>
      <c r="O20" s="21" t="str">
        <f t="shared" si="3"/>
        <v>USDJPY</v>
      </c>
      <c r="P20" s="22">
        <f t="shared" si="4"/>
        <v>107.729</v>
      </c>
      <c r="Q20" s="21" t="str">
        <f t="shared" si="12"/>
        <v>ASK</v>
      </c>
      <c r="R20" s="20">
        <f t="shared" si="5"/>
        <v>9.2825515877804499</v>
      </c>
    </row>
    <row r="21" spans="1:18" ht="16.5" customHeight="1" x14ac:dyDescent="0.3">
      <c r="A21" s="88" t="s">
        <v>7</v>
      </c>
      <c r="B21" s="89" t="str">
        <f t="shared" si="6"/>
        <v>GBP</v>
      </c>
      <c r="C21" s="90" t="str">
        <f t="shared" si="7"/>
        <v>NZD</v>
      </c>
      <c r="D21" s="91">
        <v>100000</v>
      </c>
      <c r="E21" s="92">
        <f t="shared" si="8"/>
        <v>1E-4</v>
      </c>
      <c r="F21" s="91" t="b">
        <f t="shared" si="9"/>
        <v>0</v>
      </c>
      <c r="G21" s="93" t="b">
        <f t="shared" si="0"/>
        <v>0</v>
      </c>
      <c r="H21" s="93" t="str">
        <f t="shared" si="10"/>
        <v>FALSE</v>
      </c>
      <c r="I21" s="93" t="str">
        <f t="shared" si="10"/>
        <v>FALSE</v>
      </c>
      <c r="J21" s="94">
        <f>VLOOKUP(A21,'Data Feed'!$A$3:$D$30,3,FALSE)</f>
        <v>1.9872300000000001</v>
      </c>
      <c r="K21" s="95">
        <f>VLOOKUP(A21,'Data Feed'!$A$3:$D$30,4,FALSE)</f>
        <v>1.98733</v>
      </c>
      <c r="L21" s="108">
        <f t="shared" si="11"/>
        <v>6.2368000000000006</v>
      </c>
      <c r="M21" s="20" t="str">
        <f t="shared" si="1"/>
        <v/>
      </c>
      <c r="N21" s="20" t="str">
        <f t="shared" si="2"/>
        <v/>
      </c>
      <c r="O21" s="21" t="str">
        <f t="shared" si="3"/>
        <v>NZDUSD</v>
      </c>
      <c r="P21" s="22">
        <f t="shared" si="4"/>
        <v>0.62368000000000001</v>
      </c>
      <c r="Q21" s="21" t="str">
        <f t="shared" si="12"/>
        <v>BID</v>
      </c>
      <c r="R21" s="20">
        <f t="shared" si="5"/>
        <v>6.2368000000000006</v>
      </c>
    </row>
    <row r="22" spans="1:18" ht="16.5" customHeight="1" x14ac:dyDescent="0.3">
      <c r="A22" s="88" t="s">
        <v>25</v>
      </c>
      <c r="B22" s="89" t="str">
        <f t="shared" si="6"/>
        <v>GBP</v>
      </c>
      <c r="C22" s="90" t="str">
        <f t="shared" si="7"/>
        <v>USD</v>
      </c>
      <c r="D22" s="91">
        <v>100000</v>
      </c>
      <c r="E22" s="92">
        <f t="shared" si="8"/>
        <v>1E-4</v>
      </c>
      <c r="F22" s="91" t="b">
        <f t="shared" si="9"/>
        <v>0</v>
      </c>
      <c r="G22" s="93" t="b">
        <f t="shared" si="0"/>
        <v>1</v>
      </c>
      <c r="H22" s="93" t="str">
        <f t="shared" si="10"/>
        <v>FALSE</v>
      </c>
      <c r="I22" s="93" t="str">
        <f t="shared" si="10"/>
        <v>TRUE</v>
      </c>
      <c r="J22" s="94">
        <f>VLOOKUP(A22,'Data Feed'!$A$3:$D$30,3,FALSE)</f>
        <v>1.2394099999999999</v>
      </c>
      <c r="K22" s="95">
        <f>VLOOKUP(A22,'Data Feed'!$A$3:$D$30,4,FALSE)</f>
        <v>1.2394099999999999</v>
      </c>
      <c r="L22" s="108">
        <f t="shared" si="11"/>
        <v>10</v>
      </c>
      <c r="M22" s="20">
        <f t="shared" si="1"/>
        <v>10</v>
      </c>
      <c r="N22" s="20" t="str">
        <f t="shared" si="2"/>
        <v/>
      </c>
      <c r="O22" s="21" t="str">
        <f t="shared" si="3"/>
        <v/>
      </c>
      <c r="P22" s="22" t="str">
        <f t="shared" si="4"/>
        <v/>
      </c>
      <c r="Q22" s="21" t="str">
        <f t="shared" si="12"/>
        <v/>
      </c>
      <c r="R22" s="20" t="str">
        <f t="shared" si="5"/>
        <v/>
      </c>
    </row>
    <row r="23" spans="1:18" ht="16.5" customHeight="1" x14ac:dyDescent="0.3">
      <c r="A23" s="88" t="s">
        <v>13</v>
      </c>
      <c r="B23" s="89" t="str">
        <f t="shared" si="6"/>
        <v>NZD</v>
      </c>
      <c r="C23" s="90" t="str">
        <f t="shared" si="7"/>
        <v>CAD</v>
      </c>
      <c r="D23" s="91">
        <v>100000</v>
      </c>
      <c r="E23" s="92">
        <f t="shared" si="8"/>
        <v>1E-4</v>
      </c>
      <c r="F23" s="91" t="b">
        <f t="shared" si="9"/>
        <v>0</v>
      </c>
      <c r="G23" s="93" t="b">
        <f t="shared" si="0"/>
        <v>0</v>
      </c>
      <c r="H23" s="93" t="str">
        <f t="shared" si="10"/>
        <v>FALSE</v>
      </c>
      <c r="I23" s="93" t="str">
        <f t="shared" si="10"/>
        <v>FALSE</v>
      </c>
      <c r="J23" s="94">
        <f>VLOOKUP(A23,'Data Feed'!$A$3:$D$30,3,FALSE)</f>
        <v>0.85472000000000004</v>
      </c>
      <c r="K23" s="95">
        <f>VLOOKUP(A23,'Data Feed'!$A$3:$D$30,4,FALSE)</f>
        <v>0.85479000000000005</v>
      </c>
      <c r="L23" s="108">
        <f t="shared" si="11"/>
        <v>7.2966603185721892</v>
      </c>
      <c r="M23" s="20" t="str">
        <f t="shared" si="1"/>
        <v/>
      </c>
      <c r="N23" s="20" t="str">
        <f t="shared" si="2"/>
        <v/>
      </c>
      <c r="O23" s="21" t="str">
        <f t="shared" si="3"/>
        <v>USDCAD</v>
      </c>
      <c r="P23" s="22">
        <f t="shared" si="4"/>
        <v>1.37049</v>
      </c>
      <c r="Q23" s="21" t="str">
        <f t="shared" si="12"/>
        <v>ASK</v>
      </c>
      <c r="R23" s="20">
        <f t="shared" si="5"/>
        <v>7.2966603185721892</v>
      </c>
    </row>
    <row r="24" spans="1:18" ht="16.5" customHeight="1" x14ac:dyDescent="0.3">
      <c r="A24" s="88" t="s">
        <v>28</v>
      </c>
      <c r="B24" s="89" t="str">
        <f t="shared" si="6"/>
        <v>NZD</v>
      </c>
      <c r="C24" s="90" t="str">
        <f t="shared" si="7"/>
        <v>CHF</v>
      </c>
      <c r="D24" s="91">
        <v>100000</v>
      </c>
      <c r="E24" s="92">
        <f t="shared" si="8"/>
        <v>1E-4</v>
      </c>
      <c r="F24" s="91" t="b">
        <f t="shared" si="9"/>
        <v>0</v>
      </c>
      <c r="G24" s="93" t="b">
        <f t="shared" si="0"/>
        <v>0</v>
      </c>
      <c r="H24" s="93" t="str">
        <f t="shared" si="10"/>
        <v>FALSE</v>
      </c>
      <c r="I24" s="93" t="str">
        <f t="shared" si="10"/>
        <v>FALSE</v>
      </c>
      <c r="J24" s="94">
        <f>VLOOKUP(A24,'Data Feed'!$A$3:$D$30,3,FALSE)</f>
        <v>0.59953000000000001</v>
      </c>
      <c r="K24" s="95">
        <f>VLOOKUP(A24,'Data Feed'!$A$3:$D$30,4,FALSE)</f>
        <v>0.59957000000000005</v>
      </c>
      <c r="L24" s="108">
        <f t="shared" si="11"/>
        <v>10.402363416968337</v>
      </c>
      <c r="M24" s="20" t="str">
        <f t="shared" si="1"/>
        <v/>
      </c>
      <c r="N24" s="20" t="str">
        <f t="shared" si="2"/>
        <v/>
      </c>
      <c r="O24" s="21" t="str">
        <f t="shared" si="3"/>
        <v>USDCHF</v>
      </c>
      <c r="P24" s="22">
        <f t="shared" si="4"/>
        <v>0.96131999999999995</v>
      </c>
      <c r="Q24" s="21" t="str">
        <f t="shared" si="12"/>
        <v>ASK</v>
      </c>
      <c r="R24" s="20">
        <f t="shared" si="5"/>
        <v>10.402363416968337</v>
      </c>
    </row>
    <row r="25" spans="1:18" ht="16.5" customHeight="1" x14ac:dyDescent="0.3">
      <c r="A25" s="88" t="s">
        <v>18</v>
      </c>
      <c r="B25" s="89" t="str">
        <f t="shared" si="6"/>
        <v>NZD</v>
      </c>
      <c r="C25" s="90" t="str">
        <f t="shared" si="7"/>
        <v>JPY</v>
      </c>
      <c r="D25" s="91">
        <v>100000</v>
      </c>
      <c r="E25" s="92">
        <f t="shared" si="8"/>
        <v>0.01</v>
      </c>
      <c r="F25" s="91" t="b">
        <f t="shared" si="9"/>
        <v>1</v>
      </c>
      <c r="G25" s="93" t="b">
        <f t="shared" si="0"/>
        <v>0</v>
      </c>
      <c r="H25" s="93" t="str">
        <f t="shared" si="10"/>
        <v>FALSE</v>
      </c>
      <c r="I25" s="93" t="str">
        <f t="shared" si="10"/>
        <v>FALSE</v>
      </c>
      <c r="J25" s="94">
        <f>VLOOKUP(A25,'Data Feed'!$A$3:$D$30,3,FALSE)</f>
        <v>67.185000000000002</v>
      </c>
      <c r="K25" s="95">
        <f>VLOOKUP(A25,'Data Feed'!$A$3:$D$30,4,FALSE)</f>
        <v>67.188999999999993</v>
      </c>
      <c r="L25" s="108">
        <f t="shared" si="11"/>
        <v>9.2825515877804499</v>
      </c>
      <c r="M25" s="20" t="str">
        <f t="shared" si="1"/>
        <v/>
      </c>
      <c r="N25" s="20" t="str">
        <f t="shared" si="2"/>
        <v/>
      </c>
      <c r="O25" s="21" t="str">
        <f t="shared" si="3"/>
        <v>USDJPY</v>
      </c>
      <c r="P25" s="22">
        <f t="shared" si="4"/>
        <v>107.729</v>
      </c>
      <c r="Q25" s="21" t="str">
        <f t="shared" si="12"/>
        <v>ASK</v>
      </c>
      <c r="R25" s="20">
        <f t="shared" si="5"/>
        <v>9.2825515877804499</v>
      </c>
    </row>
    <row r="26" spans="1:18" ht="16.5" customHeight="1" x14ac:dyDescent="0.3">
      <c r="A26" s="88" t="s">
        <v>24</v>
      </c>
      <c r="B26" s="89" t="str">
        <f t="shared" si="6"/>
        <v>NZD</v>
      </c>
      <c r="C26" s="90" t="str">
        <f t="shared" si="7"/>
        <v>USD</v>
      </c>
      <c r="D26" s="91">
        <v>100000</v>
      </c>
      <c r="E26" s="92">
        <f t="shared" si="8"/>
        <v>1E-4</v>
      </c>
      <c r="F26" s="91" t="b">
        <f t="shared" si="9"/>
        <v>0</v>
      </c>
      <c r="G26" s="93" t="b">
        <f t="shared" si="0"/>
        <v>1</v>
      </c>
      <c r="H26" s="93" t="str">
        <f t="shared" si="10"/>
        <v>FALSE</v>
      </c>
      <c r="I26" s="93" t="str">
        <f t="shared" si="10"/>
        <v>TRUE</v>
      </c>
      <c r="J26" s="94">
        <f>VLOOKUP(A26,'Data Feed'!$A$3:$D$30,3,FALSE)</f>
        <v>0.62365000000000004</v>
      </c>
      <c r="K26" s="95">
        <f>VLOOKUP(A26,'Data Feed'!$A$3:$D$30,4,FALSE)</f>
        <v>0.62368000000000001</v>
      </c>
      <c r="L26" s="108">
        <f t="shared" si="11"/>
        <v>10</v>
      </c>
      <c r="M26" s="20">
        <f t="shared" si="1"/>
        <v>10</v>
      </c>
      <c r="N26" s="20" t="str">
        <f t="shared" si="2"/>
        <v/>
      </c>
      <c r="O26" s="21" t="str">
        <f t="shared" si="3"/>
        <v/>
      </c>
      <c r="P26" s="22" t="str">
        <f t="shared" si="4"/>
        <v/>
      </c>
      <c r="Q26" s="21" t="str">
        <f t="shared" si="12"/>
        <v/>
      </c>
      <c r="R26" s="20" t="str">
        <f t="shared" si="5"/>
        <v/>
      </c>
    </row>
    <row r="27" spans="1:18" ht="16.5" customHeight="1" x14ac:dyDescent="0.3">
      <c r="A27" s="88" t="s">
        <v>12</v>
      </c>
      <c r="B27" s="89" t="str">
        <f t="shared" si="6"/>
        <v>USD</v>
      </c>
      <c r="C27" s="90" t="str">
        <f t="shared" si="7"/>
        <v>CAD</v>
      </c>
      <c r="D27" s="91">
        <v>100000</v>
      </c>
      <c r="E27" s="92">
        <f t="shared" si="8"/>
        <v>1E-4</v>
      </c>
      <c r="F27" s="91" t="b">
        <f t="shared" si="9"/>
        <v>0</v>
      </c>
      <c r="G27" s="93" t="b">
        <f t="shared" si="0"/>
        <v>1</v>
      </c>
      <c r="H27" s="93" t="str">
        <f t="shared" si="10"/>
        <v>TRUE</v>
      </c>
      <c r="I27" s="93" t="str">
        <f t="shared" si="10"/>
        <v>FALSE</v>
      </c>
      <c r="J27" s="94">
        <f>VLOOKUP(A27,'Data Feed'!$A$3:$D$30,3,FALSE)</f>
        <v>1.37049</v>
      </c>
      <c r="K27" s="95">
        <f>VLOOKUP(A27,'Data Feed'!$A$3:$D$30,4,FALSE)</f>
        <v>1.3705400000000001</v>
      </c>
      <c r="L27" s="108">
        <f t="shared" si="11"/>
        <v>7.2963941220248945</v>
      </c>
      <c r="M27" s="20" t="str">
        <f t="shared" si="1"/>
        <v/>
      </c>
      <c r="N27" s="20">
        <f t="shared" si="2"/>
        <v>7.2963941220248945</v>
      </c>
      <c r="O27" s="21" t="str">
        <f t="shared" si="3"/>
        <v/>
      </c>
      <c r="P27" s="22" t="str">
        <f t="shared" si="4"/>
        <v/>
      </c>
      <c r="Q27" s="21" t="str">
        <f t="shared" si="12"/>
        <v/>
      </c>
      <c r="R27" s="20" t="str">
        <f t="shared" si="5"/>
        <v/>
      </c>
    </row>
    <row r="28" spans="1:18" ht="16.5" customHeight="1" x14ac:dyDescent="0.3">
      <c r="A28" s="88" t="s">
        <v>27</v>
      </c>
      <c r="B28" s="89" t="str">
        <f t="shared" si="6"/>
        <v>USD</v>
      </c>
      <c r="C28" s="90" t="str">
        <f t="shared" si="7"/>
        <v>CHF</v>
      </c>
      <c r="D28" s="91">
        <v>100000</v>
      </c>
      <c r="E28" s="92">
        <f t="shared" si="8"/>
        <v>1E-4</v>
      </c>
      <c r="F28" s="91" t="b">
        <f t="shared" si="9"/>
        <v>0</v>
      </c>
      <c r="G28" s="93" t="b">
        <f t="shared" si="0"/>
        <v>1</v>
      </c>
      <c r="H28" s="93" t="str">
        <f t="shared" si="10"/>
        <v>TRUE</v>
      </c>
      <c r="I28" s="93" t="str">
        <f t="shared" si="10"/>
        <v>FALSE</v>
      </c>
      <c r="J28" s="94">
        <f>VLOOKUP(A28,'Data Feed'!$A$3:$D$30,3,FALSE)</f>
        <v>0.96131999999999995</v>
      </c>
      <c r="K28" s="95">
        <f>VLOOKUP(A28,'Data Feed'!$A$3:$D$30,4,FALSE)</f>
        <v>0.96133999999999997</v>
      </c>
      <c r="L28" s="108">
        <f t="shared" si="11"/>
        <v>10.402147003141449</v>
      </c>
      <c r="M28" s="20" t="str">
        <f t="shared" si="1"/>
        <v/>
      </c>
      <c r="N28" s="20">
        <f t="shared" si="2"/>
        <v>10.402147003141449</v>
      </c>
      <c r="O28" s="21" t="str">
        <f t="shared" si="3"/>
        <v/>
      </c>
      <c r="P28" s="22" t="str">
        <f t="shared" si="4"/>
        <v/>
      </c>
      <c r="Q28" s="21" t="str">
        <f t="shared" si="12"/>
        <v/>
      </c>
      <c r="R28" s="20" t="str">
        <f t="shared" si="5"/>
        <v/>
      </c>
    </row>
    <row r="29" spans="1:18" ht="16.5" customHeight="1" x14ac:dyDescent="0.3">
      <c r="A29" s="88" t="s">
        <v>17</v>
      </c>
      <c r="B29" s="89" t="str">
        <f t="shared" si="6"/>
        <v>USD</v>
      </c>
      <c r="C29" s="90" t="str">
        <f t="shared" si="7"/>
        <v>JPY</v>
      </c>
      <c r="D29" s="91">
        <v>100000</v>
      </c>
      <c r="E29" s="92">
        <f t="shared" si="8"/>
        <v>0.01</v>
      </c>
      <c r="F29" s="91" t="b">
        <f t="shared" si="9"/>
        <v>1</v>
      </c>
      <c r="G29" s="93" t="b">
        <f t="shared" si="0"/>
        <v>1</v>
      </c>
      <c r="H29" s="93" t="str">
        <f t="shared" si="10"/>
        <v>TRUE</v>
      </c>
      <c r="I29" s="93" t="str">
        <f t="shared" si="10"/>
        <v>FALSE</v>
      </c>
      <c r="J29" s="94">
        <f>VLOOKUP(A29,'Data Feed'!$A$3:$D$30,3,FALSE)</f>
        <v>107.729</v>
      </c>
      <c r="K29" s="95">
        <f>VLOOKUP(A29,'Data Feed'!$A$3:$D$30,4,FALSE)</f>
        <v>107.729</v>
      </c>
      <c r="L29" s="108">
        <f t="shared" si="11"/>
        <v>9.2825515877804499</v>
      </c>
      <c r="M29" s="20" t="str">
        <f t="shared" si="1"/>
        <v/>
      </c>
      <c r="N29" s="20">
        <f t="shared" si="2"/>
        <v>9.2825515877804499</v>
      </c>
      <c r="O29" s="21" t="str">
        <f t="shared" si="3"/>
        <v/>
      </c>
      <c r="P29" s="22" t="str">
        <f t="shared" si="4"/>
        <v/>
      </c>
      <c r="Q29" s="21" t="str">
        <f t="shared" si="12"/>
        <v/>
      </c>
      <c r="R29" s="20" t="str">
        <f t="shared" si="5"/>
        <v/>
      </c>
    </row>
    <row r="30" spans="1:18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18" ht="16.5" customHeight="1" x14ac:dyDescent="0.3">
      <c r="A31" s="150" t="s">
        <v>107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</row>
    <row r="32" spans="1:18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1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K33" s="9"/>
    </row>
    <row r="34" spans="1:1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K34" s="9"/>
    </row>
    <row r="35" spans="1:1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K35" s="9"/>
    </row>
    <row r="36" spans="1:1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K36" s="9"/>
    </row>
    <row r="37" spans="1:1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K37" s="9"/>
    </row>
    <row r="38" spans="1:1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K38" s="9"/>
    </row>
    <row r="39" spans="1:1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K39" s="9"/>
    </row>
    <row r="40" spans="1:1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K40" s="9"/>
    </row>
    <row r="41" spans="1:1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K41" s="9"/>
    </row>
    <row r="42" spans="1:1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K42" s="9"/>
    </row>
    <row r="43" spans="1:1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K43" s="9"/>
    </row>
    <row r="44" spans="1:1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K44" s="9"/>
    </row>
    <row r="45" spans="1:1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K45" s="9"/>
    </row>
    <row r="46" spans="1:1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K46" s="9"/>
    </row>
    <row r="47" spans="1:1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K47" s="9"/>
    </row>
    <row r="48" spans="1:1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K48" s="9"/>
    </row>
    <row r="49" spans="1:1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K49" s="9"/>
    </row>
    <row r="50" spans="1:1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K50" s="9"/>
    </row>
    <row r="51" spans="1:1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K51" s="9"/>
    </row>
    <row r="52" spans="1:1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K52" s="9"/>
    </row>
    <row r="53" spans="1:11" ht="16.5" customHeight="1" x14ac:dyDescent="0.3">
      <c r="A53" s="2"/>
      <c r="B53" s="3"/>
      <c r="C53" s="4"/>
      <c r="D53" s="5"/>
      <c r="E53" s="6"/>
      <c r="F53" s="5"/>
      <c r="G53" s="7"/>
      <c r="H53" s="7"/>
      <c r="I53" s="7"/>
      <c r="K53" s="9"/>
    </row>
    <row r="54" spans="1:11" ht="16.5" customHeight="1" x14ac:dyDescent="0.3">
      <c r="A54" s="2"/>
      <c r="B54" s="3"/>
      <c r="C54" s="4"/>
      <c r="D54" s="5"/>
      <c r="E54" s="6"/>
      <c r="F54" s="5"/>
      <c r="G54" s="2"/>
      <c r="H54" s="2"/>
      <c r="I54" s="2"/>
      <c r="K54" s="9"/>
    </row>
    <row r="55" spans="1:1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K55" s="9"/>
    </row>
    <row r="56" spans="1:1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K56" s="9"/>
    </row>
    <row r="57" spans="1:1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K57" s="9"/>
    </row>
    <row r="58" spans="1:1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K58" s="9"/>
    </row>
    <row r="59" spans="1:1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K59" s="9"/>
    </row>
    <row r="60" spans="1:1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K60" s="9"/>
    </row>
    <row r="61" spans="1:1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K61" s="9"/>
    </row>
    <row r="62" spans="1:1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K62" s="9"/>
    </row>
    <row r="63" spans="1:1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K63" s="9"/>
    </row>
    <row r="64" spans="1:1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K64" s="9"/>
    </row>
    <row r="65" spans="1:1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K65" s="9"/>
    </row>
    <row r="66" spans="1:1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K66" s="9"/>
    </row>
    <row r="67" spans="1:1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K67" s="9"/>
    </row>
    <row r="68" spans="1:1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K68" s="9"/>
    </row>
    <row r="69" spans="1:1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K69" s="9"/>
    </row>
    <row r="70" spans="1:1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K70" s="9"/>
    </row>
    <row r="71" spans="1:11" ht="16.5" customHeight="1" x14ac:dyDescent="0.3">
      <c r="A71" s="2"/>
      <c r="B71" s="3"/>
      <c r="C71" s="4"/>
      <c r="D71" s="5"/>
      <c r="E71" s="6"/>
      <c r="F71" s="5"/>
      <c r="G71" s="7"/>
      <c r="H71" s="7"/>
      <c r="I71" s="7"/>
      <c r="K71" s="9"/>
    </row>
    <row r="72" spans="1:1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K72" s="9"/>
    </row>
    <row r="73" spans="1:11" ht="16.5" customHeight="1" x14ac:dyDescent="0.3">
      <c r="A73" s="2"/>
      <c r="B73" s="3"/>
      <c r="C73" s="4"/>
      <c r="D73" s="5"/>
      <c r="E73" s="6"/>
      <c r="F73" s="5"/>
      <c r="G73" s="2"/>
      <c r="H73" s="2"/>
      <c r="I73" s="2"/>
      <c r="K73" s="9"/>
    </row>
    <row r="74" spans="1:1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K74" s="9"/>
    </row>
    <row r="75" spans="1:1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K75" s="9"/>
    </row>
    <row r="76" spans="1:1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K76" s="9"/>
    </row>
    <row r="77" spans="1:1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K77" s="9"/>
    </row>
    <row r="78" spans="1:1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K78" s="9"/>
    </row>
    <row r="79" spans="1:1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K79" s="9"/>
    </row>
    <row r="80" spans="1:1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K80" s="9"/>
    </row>
    <row r="81" spans="1:1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K81" s="9"/>
    </row>
    <row r="82" spans="1:1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K82" s="9"/>
    </row>
    <row r="83" spans="1:1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K83" s="9"/>
    </row>
    <row r="84" spans="1:11" ht="16.5" customHeight="1" x14ac:dyDescent="0.3">
      <c r="A84" s="2"/>
      <c r="B84" s="3"/>
      <c r="C84" s="4"/>
      <c r="D84" s="5"/>
      <c r="E84" s="6"/>
      <c r="F84" s="5"/>
      <c r="G84" s="7"/>
      <c r="H84" s="7"/>
      <c r="I84" s="7"/>
      <c r="K84" s="9"/>
    </row>
  </sheetData>
  <mergeCells count="2">
    <mergeCell ref="O1:R1"/>
    <mergeCell ref="A31:L31"/>
  </mergeCells>
  <conditionalFormatting sqref="L30 L1 L32:L1048576">
    <cfRule type="colorScale" priority="2">
      <colorScale>
        <cfvo type="min"/>
        <cfvo type="percentile" val="50"/>
        <cfvo type="max"/>
        <color theme="5" tint="-0.249977111117893"/>
        <color rgb="FFFFEB84"/>
        <color theme="9" tint="-0.249977111117893"/>
      </colorScale>
    </cfRule>
  </conditionalFormatting>
  <conditionalFormatting sqref="L2:L2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83"/>
  <sheetViews>
    <sheetView workbookViewId="0">
      <selection activeCell="X33" sqref="X33"/>
    </sheetView>
  </sheetViews>
  <sheetFormatPr defaultColWidth="18.88671875" defaultRowHeight="16.5" customHeight="1" x14ac:dyDescent="0.3"/>
  <cols>
    <col min="1" max="1" width="12.21875" style="1" customWidth="1"/>
    <col min="2" max="2" width="10.5546875" style="12" hidden="1" customWidth="1"/>
    <col min="3" max="3" width="8.5546875" style="14" hidden="1" customWidth="1"/>
    <col min="4" max="4" width="10.33203125" style="15" hidden="1" customWidth="1"/>
    <col min="5" max="5" width="10.33203125" style="16" hidden="1" customWidth="1"/>
    <col min="6" max="6" width="10.33203125" style="15" hidden="1" customWidth="1"/>
    <col min="7" max="7" width="13.33203125" style="1" hidden="1" customWidth="1"/>
    <col min="8" max="9" width="8.44140625" style="1" hidden="1" customWidth="1"/>
    <col min="10" max="11" width="14" style="8" hidden="1" customWidth="1"/>
    <col min="12" max="12" width="15.33203125" style="10" customWidth="1"/>
    <col min="13" max="13" width="12.5546875" style="11" hidden="1" customWidth="1"/>
    <col min="14" max="14" width="12" style="11" hidden="1" customWidth="1"/>
    <col min="15" max="15" width="9.21875" style="1" hidden="1" customWidth="1"/>
    <col min="16" max="16" width="10.5546875" style="8" hidden="1" customWidth="1"/>
    <col min="17" max="17" width="6.21875" style="12" hidden="1" customWidth="1"/>
    <col min="18" max="18" width="8.77734375" style="11" hidden="1" customWidth="1"/>
    <col min="19" max="19" width="8.44140625" style="1" hidden="1" customWidth="1"/>
    <col min="20" max="20" width="12" style="1" customWidth="1"/>
    <col min="21" max="21" width="13.44140625" style="1" customWidth="1"/>
    <col min="22" max="22" width="23.21875" style="16" customWidth="1"/>
    <col min="23" max="23" width="18.88671875" style="1"/>
    <col min="24" max="24" width="24.44140625" style="1" customWidth="1"/>
    <col min="25" max="25" width="18.44140625" style="1" customWidth="1"/>
    <col min="26" max="16384" width="18.88671875" style="1"/>
  </cols>
  <sheetData>
    <row r="1" spans="1:25" s="19" customFormat="1" ht="16.5" customHeight="1" x14ac:dyDescent="0.3">
      <c r="A1" s="77" t="s">
        <v>37</v>
      </c>
      <c r="B1" s="78" t="s">
        <v>52</v>
      </c>
      <c r="C1" s="77" t="s">
        <v>53</v>
      </c>
      <c r="D1" s="79" t="s">
        <v>54</v>
      </c>
      <c r="E1" s="80" t="s">
        <v>55</v>
      </c>
      <c r="F1" s="79" t="s">
        <v>55</v>
      </c>
      <c r="G1" s="81" t="s">
        <v>56</v>
      </c>
      <c r="H1" s="81" t="s">
        <v>57</v>
      </c>
      <c r="I1" s="81" t="s">
        <v>58</v>
      </c>
      <c r="J1" s="82" t="s">
        <v>60</v>
      </c>
      <c r="K1" s="83" t="s">
        <v>59</v>
      </c>
      <c r="L1" s="84" t="s">
        <v>61</v>
      </c>
      <c r="M1" s="85" t="s">
        <v>62</v>
      </c>
      <c r="N1" s="86" t="s">
        <v>63</v>
      </c>
      <c r="O1" s="151" t="s">
        <v>64</v>
      </c>
      <c r="P1" s="151"/>
      <c r="Q1" s="151"/>
      <c r="R1" s="151"/>
      <c r="S1" s="87" t="s">
        <v>82</v>
      </c>
      <c r="T1" s="87" t="s">
        <v>84</v>
      </c>
      <c r="U1" s="87" t="s">
        <v>86</v>
      </c>
      <c r="V1" s="123" t="s">
        <v>94</v>
      </c>
    </row>
    <row r="2" spans="1:25" s="21" customFormat="1" ht="16.5" customHeight="1" x14ac:dyDescent="0.3">
      <c r="A2" s="88" t="s">
        <v>26</v>
      </c>
      <c r="B2" s="89" t="str">
        <f t="shared" ref="B2:B29" si="0">LEFT(A2,3)</f>
        <v>AUD</v>
      </c>
      <c r="C2" s="90" t="str">
        <f t="shared" ref="C2:C29" si="1">RIGHT(A2,3)</f>
        <v>USD</v>
      </c>
      <c r="D2" s="91">
        <v>100000</v>
      </c>
      <c r="E2" s="92">
        <f t="shared" ref="E2:E29" si="2">IF(F2=FALSE,0.0001,0.01)</f>
        <v>1E-4</v>
      </c>
      <c r="F2" s="91" t="b">
        <f t="shared" ref="F2:F29" si="3">ISNUMBER(SEARCH("JPY",A2))</f>
        <v>0</v>
      </c>
      <c r="G2" s="93" t="b">
        <f t="shared" ref="G2:G29" si="4">ISNUMBER(SEARCH("USD",A2))</f>
        <v>1</v>
      </c>
      <c r="H2" s="93" t="str">
        <f t="shared" ref="H2:H29" si="5">IF(B2="USD","TRUE","FALSE")</f>
        <v>FALSE</v>
      </c>
      <c r="I2" s="93" t="str">
        <f t="shared" ref="I2:I29" si="6">IF(C2="USD","TRUE","FALSE")</f>
        <v>TRUE</v>
      </c>
      <c r="J2" s="94">
        <f>VLOOKUP(A2,'Data Feed'!$A$3:$E$30,3,FALSE)</f>
        <v>0.67406999999999995</v>
      </c>
      <c r="K2" s="95">
        <f>VLOOKUP(A2,'Data Feed'!$A$3:$E$30,4,FALSE)</f>
        <v>0.67410000000000003</v>
      </c>
      <c r="L2" s="96">
        <f t="shared" ref="L2:L29" si="7">IF(I2="TRUE",D2*E2,(IF(H2="TRUE",(D2*E2)/K2,(IF(G2=FALSE,R2,"")))))</f>
        <v>10</v>
      </c>
      <c r="M2" s="97">
        <f t="shared" ref="M2:M29" si="8">IF(I2="TRUE",D2*E2,"")</f>
        <v>10</v>
      </c>
      <c r="N2" s="97" t="str">
        <f t="shared" ref="N2:N29" si="9">IF(H2="TRUE",(D2*E2)/K2,"")</f>
        <v/>
      </c>
      <c r="O2" s="88" t="str">
        <f t="shared" ref="O2:O29" si="10">IF(G2=FALSE,IFERROR(VLOOKUP(C2&amp;"USD",$A$2:$A$29,1,FALSE),"USD"&amp;C2),"")</f>
        <v/>
      </c>
      <c r="P2" s="94" t="str">
        <f t="shared" ref="P2:P29" si="11">IF(O2="","",(IF(LEFT(O2,3)="USD",VLOOKUP(O2,$A$2:$K$29,10,FALSE),VLOOKUP(O2,$A$2:$K$29,11,FALSE))))</f>
        <v/>
      </c>
      <c r="Q2" s="89" t="str">
        <f t="shared" ref="Q2:Q29" si="12">IF(O2="","",(IF(LEFT(O2,3)="USD","ASK","BID")))</f>
        <v/>
      </c>
      <c r="R2" s="97" t="str">
        <f t="shared" ref="R2:R29" si="13">IF(Q2="ASK",(D2*E2/P2),(IF(Q2="BID",((D2*E2)*P2),"")))</f>
        <v/>
      </c>
      <c r="S2" s="88">
        <f>(D2*E2)/10</f>
        <v>1</v>
      </c>
      <c r="T2" s="98">
        <f t="shared" ref="T2:T29" si="14">$Y$3</f>
        <v>100</v>
      </c>
      <c r="U2" s="99">
        <f t="shared" ref="U2:U29" si="15">$Y$2*100000</f>
        <v>10000</v>
      </c>
      <c r="V2" s="124">
        <f>(J2*(U2/S2))/T2</f>
        <v>67.406999999999996</v>
      </c>
      <c r="X2" s="31" t="s">
        <v>85</v>
      </c>
      <c r="Y2" s="29">
        <v>0.1</v>
      </c>
    </row>
    <row r="3" spans="1:25" s="21" customFormat="1" ht="16.5" customHeight="1" x14ac:dyDescent="0.3">
      <c r="A3" s="88" t="s">
        <v>6</v>
      </c>
      <c r="B3" s="89" t="str">
        <f t="shared" si="0"/>
        <v>EUR</v>
      </c>
      <c r="C3" s="90" t="str">
        <f t="shared" si="1"/>
        <v>USD</v>
      </c>
      <c r="D3" s="91">
        <v>100000</v>
      </c>
      <c r="E3" s="92">
        <f t="shared" si="2"/>
        <v>1E-4</v>
      </c>
      <c r="F3" s="91" t="b">
        <f t="shared" si="3"/>
        <v>0</v>
      </c>
      <c r="G3" s="93" t="b">
        <f t="shared" si="4"/>
        <v>1</v>
      </c>
      <c r="H3" s="93" t="str">
        <f t="shared" si="5"/>
        <v>FALSE</v>
      </c>
      <c r="I3" s="93" t="str">
        <f t="shared" si="6"/>
        <v>TRUE</v>
      </c>
      <c r="J3" s="94">
        <f>VLOOKUP(A3,'Data Feed'!$A$3:$E$30,3,FALSE)</f>
        <v>1.11158</v>
      </c>
      <c r="K3" s="95">
        <f>VLOOKUP(A3,'Data Feed'!$A$3:$E$30,4,FALSE)</f>
        <v>1.11158</v>
      </c>
      <c r="L3" s="96">
        <f t="shared" si="7"/>
        <v>10</v>
      </c>
      <c r="M3" s="97">
        <f t="shared" si="8"/>
        <v>10</v>
      </c>
      <c r="N3" s="97" t="str">
        <f t="shared" si="9"/>
        <v/>
      </c>
      <c r="O3" s="88" t="str">
        <f t="shared" si="10"/>
        <v/>
      </c>
      <c r="P3" s="94" t="str">
        <f t="shared" si="11"/>
        <v/>
      </c>
      <c r="Q3" s="89" t="str">
        <f t="shared" si="12"/>
        <v/>
      </c>
      <c r="R3" s="97" t="str">
        <f t="shared" si="13"/>
        <v/>
      </c>
      <c r="S3" s="88">
        <f t="shared" ref="S3:S29" si="16">(D3*E3)/10</f>
        <v>1</v>
      </c>
      <c r="T3" s="98">
        <f t="shared" si="14"/>
        <v>100</v>
      </c>
      <c r="U3" s="99">
        <f t="shared" si="15"/>
        <v>10000</v>
      </c>
      <c r="V3" s="124">
        <f t="shared" ref="V3:V5" si="17">(J3*(U3/S3))/T3</f>
        <v>111.15799999999999</v>
      </c>
      <c r="X3" s="31" t="s">
        <v>87</v>
      </c>
      <c r="Y3" s="30">
        <v>100</v>
      </c>
    </row>
    <row r="4" spans="1:25" s="21" customFormat="1" ht="16.5" customHeight="1" x14ac:dyDescent="0.3">
      <c r="A4" s="88" t="s">
        <v>25</v>
      </c>
      <c r="B4" s="89" t="str">
        <f t="shared" si="0"/>
        <v>GBP</v>
      </c>
      <c r="C4" s="90" t="str">
        <f t="shared" si="1"/>
        <v>USD</v>
      </c>
      <c r="D4" s="91">
        <v>100000</v>
      </c>
      <c r="E4" s="92">
        <f t="shared" si="2"/>
        <v>1E-4</v>
      </c>
      <c r="F4" s="91" t="b">
        <f t="shared" si="3"/>
        <v>0</v>
      </c>
      <c r="G4" s="93" t="b">
        <f t="shared" si="4"/>
        <v>1</v>
      </c>
      <c r="H4" s="93" t="str">
        <f t="shared" si="5"/>
        <v>FALSE</v>
      </c>
      <c r="I4" s="93" t="str">
        <f t="shared" si="6"/>
        <v>TRUE</v>
      </c>
      <c r="J4" s="94">
        <f>VLOOKUP(A4,'Data Feed'!$A$3:$E$30,3,FALSE)</f>
        <v>1.2394099999999999</v>
      </c>
      <c r="K4" s="95">
        <f>VLOOKUP(A4,'Data Feed'!$A$3:$E$30,4,FALSE)</f>
        <v>1.2394099999999999</v>
      </c>
      <c r="L4" s="96">
        <f t="shared" si="7"/>
        <v>10</v>
      </c>
      <c r="M4" s="97">
        <f t="shared" si="8"/>
        <v>10</v>
      </c>
      <c r="N4" s="97" t="str">
        <f t="shared" si="9"/>
        <v/>
      </c>
      <c r="O4" s="88" t="str">
        <f t="shared" si="10"/>
        <v/>
      </c>
      <c r="P4" s="94" t="str">
        <f t="shared" si="11"/>
        <v/>
      </c>
      <c r="Q4" s="89" t="str">
        <f t="shared" si="12"/>
        <v/>
      </c>
      <c r="R4" s="97" t="str">
        <f t="shared" si="13"/>
        <v/>
      </c>
      <c r="S4" s="88">
        <f t="shared" si="16"/>
        <v>1</v>
      </c>
      <c r="T4" s="98">
        <f t="shared" si="14"/>
        <v>100</v>
      </c>
      <c r="U4" s="99">
        <f t="shared" si="15"/>
        <v>10000</v>
      </c>
      <c r="V4" s="124">
        <f t="shared" si="17"/>
        <v>123.94099999999999</v>
      </c>
    </row>
    <row r="5" spans="1:25" s="21" customFormat="1" ht="16.5" customHeight="1" x14ac:dyDescent="0.3">
      <c r="A5" s="88" t="s">
        <v>24</v>
      </c>
      <c r="B5" s="89" t="str">
        <f t="shared" si="0"/>
        <v>NZD</v>
      </c>
      <c r="C5" s="90" t="str">
        <f t="shared" si="1"/>
        <v>USD</v>
      </c>
      <c r="D5" s="91">
        <v>100000</v>
      </c>
      <c r="E5" s="92">
        <f t="shared" si="2"/>
        <v>1E-4</v>
      </c>
      <c r="F5" s="91" t="b">
        <f t="shared" si="3"/>
        <v>0</v>
      </c>
      <c r="G5" s="93" t="b">
        <f t="shared" si="4"/>
        <v>1</v>
      </c>
      <c r="H5" s="93" t="str">
        <f t="shared" si="5"/>
        <v>FALSE</v>
      </c>
      <c r="I5" s="93" t="str">
        <f t="shared" si="6"/>
        <v>TRUE</v>
      </c>
      <c r="J5" s="94">
        <f>VLOOKUP(A5,'Data Feed'!$A$3:$E$30,3,FALSE)</f>
        <v>0.62365000000000004</v>
      </c>
      <c r="K5" s="95">
        <f>VLOOKUP(A5,'Data Feed'!$A$3:$E$30,4,FALSE)</f>
        <v>0.62368000000000001</v>
      </c>
      <c r="L5" s="96">
        <f t="shared" si="7"/>
        <v>10</v>
      </c>
      <c r="M5" s="97">
        <f t="shared" si="8"/>
        <v>10</v>
      </c>
      <c r="N5" s="97" t="str">
        <f t="shared" si="9"/>
        <v/>
      </c>
      <c r="O5" s="88" t="str">
        <f t="shared" si="10"/>
        <v/>
      </c>
      <c r="P5" s="94" t="str">
        <f t="shared" si="11"/>
        <v/>
      </c>
      <c r="Q5" s="89" t="str">
        <f t="shared" si="12"/>
        <v/>
      </c>
      <c r="R5" s="97" t="str">
        <f t="shared" si="13"/>
        <v/>
      </c>
      <c r="S5" s="88">
        <f t="shared" si="16"/>
        <v>1</v>
      </c>
      <c r="T5" s="98">
        <f t="shared" si="14"/>
        <v>100</v>
      </c>
      <c r="U5" s="99">
        <f t="shared" si="15"/>
        <v>10000</v>
      </c>
      <c r="V5" s="124">
        <f t="shared" si="17"/>
        <v>62.365000000000002</v>
      </c>
    </row>
    <row r="6" spans="1:25" s="21" customFormat="1" ht="16.5" customHeight="1" x14ac:dyDescent="0.3">
      <c r="A6" s="88" t="s">
        <v>12</v>
      </c>
      <c r="B6" s="89" t="str">
        <f t="shared" si="0"/>
        <v>USD</v>
      </c>
      <c r="C6" s="90" t="str">
        <f t="shared" si="1"/>
        <v>CAD</v>
      </c>
      <c r="D6" s="91">
        <v>100000</v>
      </c>
      <c r="E6" s="92">
        <f t="shared" si="2"/>
        <v>1E-4</v>
      </c>
      <c r="F6" s="91" t="b">
        <f t="shared" si="3"/>
        <v>0</v>
      </c>
      <c r="G6" s="93" t="b">
        <f t="shared" si="4"/>
        <v>1</v>
      </c>
      <c r="H6" s="93" t="str">
        <f t="shared" si="5"/>
        <v>TRUE</v>
      </c>
      <c r="I6" s="93" t="str">
        <f t="shared" si="6"/>
        <v>FALSE</v>
      </c>
      <c r="J6" s="94">
        <f>VLOOKUP(A6,'Data Feed'!$A$3:$E$30,3,FALSE)</f>
        <v>1.37049</v>
      </c>
      <c r="K6" s="95">
        <f>VLOOKUP(A6,'Data Feed'!$A$3:$E$30,4,FALSE)</f>
        <v>1.3705400000000001</v>
      </c>
      <c r="L6" s="96">
        <f t="shared" si="7"/>
        <v>7.2963941220248945</v>
      </c>
      <c r="M6" s="97" t="str">
        <f t="shared" si="8"/>
        <v/>
      </c>
      <c r="N6" s="97">
        <f t="shared" si="9"/>
        <v>7.2963941220248945</v>
      </c>
      <c r="O6" s="88" t="str">
        <f t="shared" si="10"/>
        <v/>
      </c>
      <c r="P6" s="94" t="str">
        <f t="shared" si="11"/>
        <v/>
      </c>
      <c r="Q6" s="89" t="str">
        <f t="shared" si="12"/>
        <v/>
      </c>
      <c r="R6" s="97" t="str">
        <f t="shared" si="13"/>
        <v/>
      </c>
      <c r="S6" s="88">
        <f t="shared" si="16"/>
        <v>1</v>
      </c>
      <c r="T6" s="98">
        <f t="shared" si="14"/>
        <v>100</v>
      </c>
      <c r="U6" s="99">
        <f t="shared" si="15"/>
        <v>10000</v>
      </c>
      <c r="V6" s="124">
        <f>(K6*(U6/S6))/T6</f>
        <v>137.054</v>
      </c>
    </row>
    <row r="7" spans="1:25" s="21" customFormat="1" ht="16.5" customHeight="1" x14ac:dyDescent="0.3">
      <c r="A7" s="88" t="s">
        <v>27</v>
      </c>
      <c r="B7" s="89" t="str">
        <f t="shared" si="0"/>
        <v>USD</v>
      </c>
      <c r="C7" s="90" t="str">
        <f t="shared" si="1"/>
        <v>CHF</v>
      </c>
      <c r="D7" s="91">
        <v>100000</v>
      </c>
      <c r="E7" s="92">
        <f t="shared" si="2"/>
        <v>1E-4</v>
      </c>
      <c r="F7" s="91" t="b">
        <f t="shared" si="3"/>
        <v>0</v>
      </c>
      <c r="G7" s="93" t="b">
        <f t="shared" si="4"/>
        <v>1</v>
      </c>
      <c r="H7" s="93" t="str">
        <f t="shared" si="5"/>
        <v>TRUE</v>
      </c>
      <c r="I7" s="93" t="str">
        <f t="shared" si="6"/>
        <v>FALSE</v>
      </c>
      <c r="J7" s="94">
        <f>VLOOKUP(A7,'Data Feed'!$A$3:$E$30,3,FALSE)</f>
        <v>0.96131999999999995</v>
      </c>
      <c r="K7" s="95">
        <f>VLOOKUP(A7,'Data Feed'!$A$3:$E$30,4,FALSE)</f>
        <v>0.96133999999999997</v>
      </c>
      <c r="L7" s="96">
        <f t="shared" si="7"/>
        <v>10.402147003141449</v>
      </c>
      <c r="M7" s="97" t="str">
        <f t="shared" si="8"/>
        <v/>
      </c>
      <c r="N7" s="97">
        <f t="shared" si="9"/>
        <v>10.402147003141449</v>
      </c>
      <c r="O7" s="88" t="str">
        <f t="shared" si="10"/>
        <v/>
      </c>
      <c r="P7" s="94" t="str">
        <f t="shared" si="11"/>
        <v/>
      </c>
      <c r="Q7" s="89" t="str">
        <f t="shared" si="12"/>
        <v/>
      </c>
      <c r="R7" s="97" t="str">
        <f t="shared" si="13"/>
        <v/>
      </c>
      <c r="S7" s="88">
        <f t="shared" si="16"/>
        <v>1</v>
      </c>
      <c r="T7" s="98">
        <f t="shared" si="14"/>
        <v>100</v>
      </c>
      <c r="U7" s="99">
        <f t="shared" si="15"/>
        <v>10000</v>
      </c>
      <c r="V7" s="124">
        <f t="shared" ref="V7:V8" si="18">(K7*(U7/S7))/T7</f>
        <v>96.134</v>
      </c>
    </row>
    <row r="8" spans="1:25" s="21" customFormat="1" ht="16.5" customHeight="1" x14ac:dyDescent="0.3">
      <c r="A8" s="88" t="s">
        <v>17</v>
      </c>
      <c r="B8" s="89" t="str">
        <f t="shared" si="0"/>
        <v>USD</v>
      </c>
      <c r="C8" s="90" t="str">
        <f t="shared" si="1"/>
        <v>JPY</v>
      </c>
      <c r="D8" s="91">
        <v>100000</v>
      </c>
      <c r="E8" s="92">
        <f t="shared" si="2"/>
        <v>0.01</v>
      </c>
      <c r="F8" s="91" t="b">
        <f t="shared" si="3"/>
        <v>1</v>
      </c>
      <c r="G8" s="93" t="b">
        <f t="shared" si="4"/>
        <v>1</v>
      </c>
      <c r="H8" s="93" t="str">
        <f t="shared" si="5"/>
        <v>TRUE</v>
      </c>
      <c r="I8" s="93" t="str">
        <f t="shared" si="6"/>
        <v>FALSE</v>
      </c>
      <c r="J8" s="94">
        <f>VLOOKUP(A8,'Data Feed'!$A$3:$E$30,3,FALSE)</f>
        <v>107.729</v>
      </c>
      <c r="K8" s="95">
        <f>VLOOKUP(A8,'Data Feed'!$A$3:$E$30,4,FALSE)</f>
        <v>107.729</v>
      </c>
      <c r="L8" s="96">
        <f t="shared" si="7"/>
        <v>9.2825515877804499</v>
      </c>
      <c r="M8" s="97" t="str">
        <f t="shared" si="8"/>
        <v/>
      </c>
      <c r="N8" s="97">
        <f t="shared" si="9"/>
        <v>9.2825515877804499</v>
      </c>
      <c r="O8" s="88" t="str">
        <f t="shared" si="10"/>
        <v/>
      </c>
      <c r="P8" s="94" t="str">
        <f t="shared" si="11"/>
        <v/>
      </c>
      <c r="Q8" s="89" t="str">
        <f t="shared" si="12"/>
        <v/>
      </c>
      <c r="R8" s="97" t="str">
        <f t="shared" si="13"/>
        <v/>
      </c>
      <c r="S8" s="88">
        <f t="shared" si="16"/>
        <v>100</v>
      </c>
      <c r="T8" s="98">
        <f t="shared" si="14"/>
        <v>100</v>
      </c>
      <c r="U8" s="99">
        <f t="shared" si="15"/>
        <v>10000</v>
      </c>
      <c r="V8" s="124">
        <f t="shared" si="18"/>
        <v>107.729</v>
      </c>
    </row>
    <row r="9" spans="1:25" s="21" customFormat="1" ht="16.5" customHeight="1" x14ac:dyDescent="0.3">
      <c r="A9" s="88" t="s">
        <v>16</v>
      </c>
      <c r="B9" s="89" t="str">
        <f t="shared" si="0"/>
        <v>AUD</v>
      </c>
      <c r="C9" s="90" t="str">
        <f t="shared" si="1"/>
        <v>CAD</v>
      </c>
      <c r="D9" s="91">
        <v>100000</v>
      </c>
      <c r="E9" s="92">
        <f t="shared" si="2"/>
        <v>1E-4</v>
      </c>
      <c r="F9" s="91" t="b">
        <f t="shared" si="3"/>
        <v>0</v>
      </c>
      <c r="G9" s="93" t="b">
        <f t="shared" si="4"/>
        <v>0</v>
      </c>
      <c r="H9" s="93" t="str">
        <f t="shared" si="5"/>
        <v>FALSE</v>
      </c>
      <c r="I9" s="93" t="str">
        <f t="shared" si="6"/>
        <v>FALSE</v>
      </c>
      <c r="J9" s="94">
        <f>VLOOKUP(A9,'Data Feed'!$A$3:$E$30,3,FALSE)</f>
        <v>0.92381999999999997</v>
      </c>
      <c r="K9" s="95">
        <f>VLOOKUP(A9,'Data Feed'!$A$3:$E$30,4,FALSE)</f>
        <v>0.92386000000000001</v>
      </c>
      <c r="L9" s="96">
        <f t="shared" si="7"/>
        <v>7.2966603185721892</v>
      </c>
      <c r="M9" s="97" t="str">
        <f t="shared" si="8"/>
        <v/>
      </c>
      <c r="N9" s="97" t="str">
        <f t="shared" si="9"/>
        <v/>
      </c>
      <c r="O9" s="88" t="str">
        <f t="shared" si="10"/>
        <v>USDCAD</v>
      </c>
      <c r="P9" s="94">
        <f t="shared" si="11"/>
        <v>1.37049</v>
      </c>
      <c r="Q9" s="89" t="str">
        <f t="shared" si="12"/>
        <v>ASK</v>
      </c>
      <c r="R9" s="97">
        <f t="shared" si="13"/>
        <v>7.2966603185721892</v>
      </c>
      <c r="S9" s="88">
        <f t="shared" si="16"/>
        <v>1</v>
      </c>
      <c r="T9" s="98">
        <f t="shared" si="14"/>
        <v>100</v>
      </c>
      <c r="U9" s="99">
        <f t="shared" si="15"/>
        <v>10000</v>
      </c>
      <c r="V9" s="124">
        <f>(P9*(U9/S9))/T9</f>
        <v>137.04900000000001</v>
      </c>
    </row>
    <row r="10" spans="1:25" s="21" customFormat="1" ht="16.5" customHeight="1" x14ac:dyDescent="0.3">
      <c r="A10" s="88" t="s">
        <v>32</v>
      </c>
      <c r="B10" s="89" t="str">
        <f t="shared" si="0"/>
        <v>AUD</v>
      </c>
      <c r="C10" s="90" t="str">
        <f t="shared" si="1"/>
        <v>CHF</v>
      </c>
      <c r="D10" s="91">
        <v>100000</v>
      </c>
      <c r="E10" s="92">
        <f t="shared" si="2"/>
        <v>1E-4</v>
      </c>
      <c r="F10" s="91" t="b">
        <f t="shared" si="3"/>
        <v>0</v>
      </c>
      <c r="G10" s="93" t="b">
        <f t="shared" si="4"/>
        <v>0</v>
      </c>
      <c r="H10" s="93" t="str">
        <f t="shared" si="5"/>
        <v>FALSE</v>
      </c>
      <c r="I10" s="93" t="str">
        <f t="shared" si="6"/>
        <v>FALSE</v>
      </c>
      <c r="J10" s="94">
        <f>VLOOKUP(A10,'Data Feed'!$A$3:$E$30,3,FALSE)</f>
        <v>0.64800000000000002</v>
      </c>
      <c r="K10" s="95">
        <f>VLOOKUP(A10,'Data Feed'!$A$3:$E$30,4,FALSE)</f>
        <v>0.64802999999999999</v>
      </c>
      <c r="L10" s="96">
        <f t="shared" si="7"/>
        <v>10.402363416968337</v>
      </c>
      <c r="M10" s="97" t="str">
        <f t="shared" si="8"/>
        <v/>
      </c>
      <c r="N10" s="97" t="str">
        <f t="shared" si="9"/>
        <v/>
      </c>
      <c r="O10" s="88" t="str">
        <f t="shared" si="10"/>
        <v>USDCHF</v>
      </c>
      <c r="P10" s="94">
        <f t="shared" si="11"/>
        <v>0.96131999999999995</v>
      </c>
      <c r="Q10" s="89" t="str">
        <f t="shared" si="12"/>
        <v>ASK</v>
      </c>
      <c r="R10" s="97">
        <f t="shared" si="13"/>
        <v>10.402363416968337</v>
      </c>
      <c r="S10" s="88">
        <f t="shared" si="16"/>
        <v>1</v>
      </c>
      <c r="T10" s="98">
        <f t="shared" si="14"/>
        <v>100</v>
      </c>
      <c r="U10" s="99">
        <f t="shared" si="15"/>
        <v>10000</v>
      </c>
      <c r="V10" s="124">
        <f t="shared" ref="V10:V29" si="19">(P10*(U10/S10))/T10</f>
        <v>96.131999999999991</v>
      </c>
    </row>
    <row r="11" spans="1:25" s="21" customFormat="1" ht="16.5" customHeight="1" x14ac:dyDescent="0.3">
      <c r="A11" s="88" t="s">
        <v>23</v>
      </c>
      <c r="B11" s="89" t="str">
        <f t="shared" si="0"/>
        <v>AUD</v>
      </c>
      <c r="C11" s="90" t="str">
        <f t="shared" si="1"/>
        <v>JPY</v>
      </c>
      <c r="D11" s="91">
        <v>100000</v>
      </c>
      <c r="E11" s="92">
        <f t="shared" si="2"/>
        <v>0.01</v>
      </c>
      <c r="F11" s="91" t="b">
        <f t="shared" si="3"/>
        <v>1</v>
      </c>
      <c r="G11" s="93" t="b">
        <f t="shared" si="4"/>
        <v>0</v>
      </c>
      <c r="H11" s="93" t="str">
        <f t="shared" si="5"/>
        <v>FALSE</v>
      </c>
      <c r="I11" s="93" t="str">
        <f t="shared" si="6"/>
        <v>FALSE</v>
      </c>
      <c r="J11" s="94">
        <f>VLOOKUP(A11,'Data Feed'!$A$3:$E$30,3,FALSE)</f>
        <v>72.616</v>
      </c>
      <c r="K11" s="95">
        <f>VLOOKUP(A11,'Data Feed'!$A$3:$E$30,4,FALSE)</f>
        <v>72.619</v>
      </c>
      <c r="L11" s="96">
        <f t="shared" si="7"/>
        <v>9.2825515877804499</v>
      </c>
      <c r="M11" s="97" t="str">
        <f t="shared" si="8"/>
        <v/>
      </c>
      <c r="N11" s="97" t="str">
        <f t="shared" si="9"/>
        <v/>
      </c>
      <c r="O11" s="88" t="str">
        <f t="shared" si="10"/>
        <v>USDJPY</v>
      </c>
      <c r="P11" s="94">
        <f t="shared" si="11"/>
        <v>107.729</v>
      </c>
      <c r="Q11" s="89" t="str">
        <f t="shared" si="12"/>
        <v>ASK</v>
      </c>
      <c r="R11" s="97">
        <f t="shared" si="13"/>
        <v>9.2825515877804499</v>
      </c>
      <c r="S11" s="88">
        <f t="shared" si="16"/>
        <v>100</v>
      </c>
      <c r="T11" s="98">
        <f t="shared" si="14"/>
        <v>100</v>
      </c>
      <c r="U11" s="99">
        <f t="shared" si="15"/>
        <v>10000</v>
      </c>
      <c r="V11" s="124">
        <f t="shared" si="19"/>
        <v>107.729</v>
      </c>
    </row>
    <row r="12" spans="1:25" s="21" customFormat="1" ht="16.5" customHeight="1" x14ac:dyDescent="0.3">
      <c r="A12" s="88" t="s">
        <v>31</v>
      </c>
      <c r="B12" s="89" t="str">
        <f t="shared" si="0"/>
        <v>CAD</v>
      </c>
      <c r="C12" s="90" t="str">
        <f t="shared" si="1"/>
        <v>CHF</v>
      </c>
      <c r="D12" s="91">
        <v>100000</v>
      </c>
      <c r="E12" s="92">
        <f t="shared" si="2"/>
        <v>1E-4</v>
      </c>
      <c r="F12" s="91" t="b">
        <f t="shared" si="3"/>
        <v>0</v>
      </c>
      <c r="G12" s="93" t="b">
        <f t="shared" si="4"/>
        <v>0</v>
      </c>
      <c r="H12" s="93" t="str">
        <f t="shared" si="5"/>
        <v>FALSE</v>
      </c>
      <c r="I12" s="93" t="str">
        <f t="shared" si="6"/>
        <v>FALSE</v>
      </c>
      <c r="J12" s="94">
        <f>VLOOKUP(A12,'Data Feed'!$A$3:$E$30,3,FALSE)</f>
        <v>0.70142000000000004</v>
      </c>
      <c r="K12" s="95">
        <f>VLOOKUP(A12,'Data Feed'!$A$3:$E$30,4,FALSE)</f>
        <v>0.70145000000000002</v>
      </c>
      <c r="L12" s="96">
        <f t="shared" si="7"/>
        <v>10.402363416968337</v>
      </c>
      <c r="M12" s="97" t="str">
        <f t="shared" si="8"/>
        <v/>
      </c>
      <c r="N12" s="97" t="str">
        <f t="shared" si="9"/>
        <v/>
      </c>
      <c r="O12" s="88" t="str">
        <f t="shared" si="10"/>
        <v>USDCHF</v>
      </c>
      <c r="P12" s="94">
        <f t="shared" si="11"/>
        <v>0.96131999999999995</v>
      </c>
      <c r="Q12" s="89" t="str">
        <f t="shared" si="12"/>
        <v>ASK</v>
      </c>
      <c r="R12" s="97">
        <f t="shared" si="13"/>
        <v>10.402363416968337</v>
      </c>
      <c r="S12" s="88">
        <f t="shared" si="16"/>
        <v>1</v>
      </c>
      <c r="T12" s="98">
        <f t="shared" si="14"/>
        <v>100</v>
      </c>
      <c r="U12" s="99">
        <f t="shared" si="15"/>
        <v>10000</v>
      </c>
      <c r="V12" s="124">
        <f t="shared" si="19"/>
        <v>96.131999999999991</v>
      </c>
    </row>
    <row r="13" spans="1:25" s="21" customFormat="1" ht="16.5" customHeight="1" x14ac:dyDescent="0.3">
      <c r="A13" s="88" t="s">
        <v>22</v>
      </c>
      <c r="B13" s="89" t="str">
        <f t="shared" si="0"/>
        <v>CAD</v>
      </c>
      <c r="C13" s="90" t="str">
        <f t="shared" si="1"/>
        <v>JPY</v>
      </c>
      <c r="D13" s="91">
        <v>100000</v>
      </c>
      <c r="E13" s="92">
        <f t="shared" si="2"/>
        <v>0.01</v>
      </c>
      <c r="F13" s="91" t="b">
        <f t="shared" si="3"/>
        <v>1</v>
      </c>
      <c r="G13" s="93" t="b">
        <f t="shared" si="4"/>
        <v>0</v>
      </c>
      <c r="H13" s="93" t="str">
        <f t="shared" si="5"/>
        <v>FALSE</v>
      </c>
      <c r="I13" s="93" t="str">
        <f t="shared" si="6"/>
        <v>FALSE</v>
      </c>
      <c r="J13" s="94">
        <f>VLOOKUP(A13,'Data Feed'!$A$3:$E$30,3,FALSE)</f>
        <v>78.603999999999999</v>
      </c>
      <c r="K13" s="95">
        <f>VLOOKUP(A13,'Data Feed'!$A$3:$E$30,4,FALSE)</f>
        <v>78.605999999999995</v>
      </c>
      <c r="L13" s="96">
        <f t="shared" si="7"/>
        <v>9.2825515877804499</v>
      </c>
      <c r="M13" s="97" t="str">
        <f t="shared" si="8"/>
        <v/>
      </c>
      <c r="N13" s="97" t="str">
        <f t="shared" si="9"/>
        <v/>
      </c>
      <c r="O13" s="88" t="str">
        <f t="shared" si="10"/>
        <v>USDJPY</v>
      </c>
      <c r="P13" s="94">
        <f t="shared" si="11"/>
        <v>107.729</v>
      </c>
      <c r="Q13" s="89" t="str">
        <f t="shared" si="12"/>
        <v>ASK</v>
      </c>
      <c r="R13" s="97">
        <f t="shared" si="13"/>
        <v>9.2825515877804499</v>
      </c>
      <c r="S13" s="88">
        <f t="shared" si="16"/>
        <v>100</v>
      </c>
      <c r="T13" s="98">
        <f t="shared" si="14"/>
        <v>100</v>
      </c>
      <c r="U13" s="99">
        <f t="shared" si="15"/>
        <v>10000</v>
      </c>
      <c r="V13" s="124">
        <f t="shared" si="19"/>
        <v>107.729</v>
      </c>
    </row>
    <row r="14" spans="1:25" s="21" customFormat="1" ht="16.5" customHeight="1" x14ac:dyDescent="0.3">
      <c r="A14" s="88" t="s">
        <v>21</v>
      </c>
      <c r="B14" s="89" t="str">
        <f t="shared" si="0"/>
        <v>CHF</v>
      </c>
      <c r="C14" s="90" t="str">
        <f t="shared" si="1"/>
        <v>JPY</v>
      </c>
      <c r="D14" s="91">
        <v>100000</v>
      </c>
      <c r="E14" s="92">
        <f t="shared" si="2"/>
        <v>0.01</v>
      </c>
      <c r="F14" s="91" t="b">
        <f t="shared" si="3"/>
        <v>1</v>
      </c>
      <c r="G14" s="93" t="b">
        <f t="shared" si="4"/>
        <v>0</v>
      </c>
      <c r="H14" s="93" t="str">
        <f t="shared" si="5"/>
        <v>FALSE</v>
      </c>
      <c r="I14" s="93" t="str">
        <f t="shared" si="6"/>
        <v>FALSE</v>
      </c>
      <c r="J14" s="94">
        <f>VLOOKUP(A14,'Data Feed'!$A$3:$E$30,3,FALSE)</f>
        <v>112.059</v>
      </c>
      <c r="K14" s="95">
        <f>VLOOKUP(A14,'Data Feed'!$A$3:$E$30,4,FALSE)</f>
        <v>112.063</v>
      </c>
      <c r="L14" s="96">
        <f t="shared" si="7"/>
        <v>9.2825515877804499</v>
      </c>
      <c r="M14" s="97" t="str">
        <f t="shared" si="8"/>
        <v/>
      </c>
      <c r="N14" s="97" t="str">
        <f t="shared" si="9"/>
        <v/>
      </c>
      <c r="O14" s="88" t="str">
        <f t="shared" si="10"/>
        <v>USDJPY</v>
      </c>
      <c r="P14" s="94">
        <f t="shared" si="11"/>
        <v>107.729</v>
      </c>
      <c r="Q14" s="89" t="str">
        <f t="shared" si="12"/>
        <v>ASK</v>
      </c>
      <c r="R14" s="97">
        <f t="shared" si="13"/>
        <v>9.2825515877804499</v>
      </c>
      <c r="S14" s="88">
        <f t="shared" si="16"/>
        <v>100</v>
      </c>
      <c r="T14" s="98">
        <f t="shared" si="14"/>
        <v>100</v>
      </c>
      <c r="U14" s="99">
        <f t="shared" si="15"/>
        <v>10000</v>
      </c>
      <c r="V14" s="124">
        <f t="shared" si="19"/>
        <v>107.729</v>
      </c>
    </row>
    <row r="15" spans="1:25" s="21" customFormat="1" ht="16.5" customHeight="1" x14ac:dyDescent="0.3">
      <c r="A15" s="88" t="s">
        <v>15</v>
      </c>
      <c r="B15" s="89" t="str">
        <f t="shared" si="0"/>
        <v>EUR</v>
      </c>
      <c r="C15" s="90" t="str">
        <f t="shared" si="1"/>
        <v>CAD</v>
      </c>
      <c r="D15" s="91">
        <v>100000</v>
      </c>
      <c r="E15" s="92">
        <f t="shared" si="2"/>
        <v>1E-4</v>
      </c>
      <c r="F15" s="91" t="b">
        <f t="shared" si="3"/>
        <v>0</v>
      </c>
      <c r="G15" s="93" t="b">
        <f t="shared" si="4"/>
        <v>0</v>
      </c>
      <c r="H15" s="93" t="str">
        <f t="shared" si="5"/>
        <v>FALSE</v>
      </c>
      <c r="I15" s="93" t="str">
        <f t="shared" si="6"/>
        <v>FALSE</v>
      </c>
      <c r="J15" s="94">
        <f>VLOOKUP(A15,'Data Feed'!$A$3:$E$30,3,FALSE)</f>
        <v>1.5234099999999999</v>
      </c>
      <c r="K15" s="95">
        <f>VLOOKUP(A15,'Data Feed'!$A$3:$E$30,4,FALSE)</f>
        <v>1.52345</v>
      </c>
      <c r="L15" s="96">
        <f t="shared" si="7"/>
        <v>7.2966603185721892</v>
      </c>
      <c r="M15" s="97" t="str">
        <f t="shared" si="8"/>
        <v/>
      </c>
      <c r="N15" s="97" t="str">
        <f t="shared" si="9"/>
        <v/>
      </c>
      <c r="O15" s="88" t="str">
        <f t="shared" si="10"/>
        <v>USDCAD</v>
      </c>
      <c r="P15" s="94">
        <f t="shared" si="11"/>
        <v>1.37049</v>
      </c>
      <c r="Q15" s="89" t="str">
        <f t="shared" si="12"/>
        <v>ASK</v>
      </c>
      <c r="R15" s="97">
        <f t="shared" si="13"/>
        <v>7.2966603185721892</v>
      </c>
      <c r="S15" s="88">
        <f t="shared" si="16"/>
        <v>1</v>
      </c>
      <c r="T15" s="98">
        <f t="shared" si="14"/>
        <v>100</v>
      </c>
      <c r="U15" s="99">
        <f t="shared" si="15"/>
        <v>10000</v>
      </c>
      <c r="V15" s="124">
        <f t="shared" si="19"/>
        <v>137.04900000000001</v>
      </c>
    </row>
    <row r="16" spans="1:25" s="21" customFormat="1" ht="16.5" customHeight="1" x14ac:dyDescent="0.3">
      <c r="A16" s="88" t="s">
        <v>30</v>
      </c>
      <c r="B16" s="89" t="str">
        <f t="shared" si="0"/>
        <v>EUR</v>
      </c>
      <c r="C16" s="90" t="str">
        <f t="shared" si="1"/>
        <v>CHF</v>
      </c>
      <c r="D16" s="91">
        <v>100000</v>
      </c>
      <c r="E16" s="92">
        <f t="shared" si="2"/>
        <v>1E-4</v>
      </c>
      <c r="F16" s="91" t="b">
        <f t="shared" si="3"/>
        <v>0</v>
      </c>
      <c r="G16" s="93" t="b">
        <f t="shared" si="4"/>
        <v>0</v>
      </c>
      <c r="H16" s="93" t="str">
        <f t="shared" si="5"/>
        <v>FALSE</v>
      </c>
      <c r="I16" s="93" t="str">
        <f t="shared" si="6"/>
        <v>FALSE</v>
      </c>
      <c r="J16" s="94">
        <f>VLOOKUP(A16,'Data Feed'!$A$3:$E$30,3,FALSE)</f>
        <v>1.06857</v>
      </c>
      <c r="K16" s="95">
        <f>VLOOKUP(A16,'Data Feed'!$A$3:$E$30,4,FALSE)</f>
        <v>1.0686</v>
      </c>
      <c r="L16" s="96">
        <f t="shared" si="7"/>
        <v>10.402363416968337</v>
      </c>
      <c r="M16" s="97" t="str">
        <f t="shared" si="8"/>
        <v/>
      </c>
      <c r="N16" s="97" t="str">
        <f t="shared" si="9"/>
        <v/>
      </c>
      <c r="O16" s="88" t="str">
        <f t="shared" si="10"/>
        <v>USDCHF</v>
      </c>
      <c r="P16" s="94">
        <f t="shared" si="11"/>
        <v>0.96131999999999995</v>
      </c>
      <c r="Q16" s="89" t="str">
        <f t="shared" si="12"/>
        <v>ASK</v>
      </c>
      <c r="R16" s="97">
        <f t="shared" si="13"/>
        <v>10.402363416968337</v>
      </c>
      <c r="S16" s="88">
        <f t="shared" si="16"/>
        <v>1</v>
      </c>
      <c r="T16" s="98">
        <f t="shared" si="14"/>
        <v>100</v>
      </c>
      <c r="U16" s="99">
        <f t="shared" si="15"/>
        <v>10000</v>
      </c>
      <c r="V16" s="124">
        <f t="shared" si="19"/>
        <v>96.131999999999991</v>
      </c>
    </row>
    <row r="17" spans="1:22" s="21" customFormat="1" ht="16.5" customHeight="1" x14ac:dyDescent="0.3">
      <c r="A17" s="88" t="s">
        <v>20</v>
      </c>
      <c r="B17" s="89" t="str">
        <f t="shared" si="0"/>
        <v>EUR</v>
      </c>
      <c r="C17" s="90" t="str">
        <f t="shared" si="1"/>
        <v>JPY</v>
      </c>
      <c r="D17" s="91">
        <v>100000</v>
      </c>
      <c r="E17" s="92">
        <f t="shared" si="2"/>
        <v>0.01</v>
      </c>
      <c r="F17" s="91" t="b">
        <f t="shared" si="3"/>
        <v>1</v>
      </c>
      <c r="G17" s="93" t="b">
        <f t="shared" si="4"/>
        <v>0</v>
      </c>
      <c r="H17" s="93" t="str">
        <f t="shared" si="5"/>
        <v>FALSE</v>
      </c>
      <c r="I17" s="93" t="str">
        <f t="shared" si="6"/>
        <v>FALSE</v>
      </c>
      <c r="J17" s="94">
        <f>VLOOKUP(A17,'Data Feed'!$A$3:$E$30,3,FALSE)</f>
        <v>119.748</v>
      </c>
      <c r="K17" s="95">
        <f>VLOOKUP(A17,'Data Feed'!$A$3:$E$30,4,FALSE)</f>
        <v>119.749</v>
      </c>
      <c r="L17" s="96">
        <f t="shared" si="7"/>
        <v>9.2825515877804499</v>
      </c>
      <c r="M17" s="97" t="str">
        <f t="shared" si="8"/>
        <v/>
      </c>
      <c r="N17" s="97" t="str">
        <f t="shared" si="9"/>
        <v/>
      </c>
      <c r="O17" s="88" t="str">
        <f t="shared" si="10"/>
        <v>USDJPY</v>
      </c>
      <c r="P17" s="94">
        <f t="shared" si="11"/>
        <v>107.729</v>
      </c>
      <c r="Q17" s="89" t="str">
        <f t="shared" si="12"/>
        <v>ASK</v>
      </c>
      <c r="R17" s="97">
        <f t="shared" si="13"/>
        <v>9.2825515877804499</v>
      </c>
      <c r="S17" s="88">
        <f t="shared" si="16"/>
        <v>100</v>
      </c>
      <c r="T17" s="98">
        <f t="shared" si="14"/>
        <v>100</v>
      </c>
      <c r="U17" s="99">
        <f t="shared" si="15"/>
        <v>10000</v>
      </c>
      <c r="V17" s="124">
        <f t="shared" si="19"/>
        <v>107.729</v>
      </c>
    </row>
    <row r="18" spans="1:22" s="21" customFormat="1" ht="16.5" customHeight="1" x14ac:dyDescent="0.3">
      <c r="A18" s="88" t="s">
        <v>14</v>
      </c>
      <c r="B18" s="89" t="str">
        <f t="shared" si="0"/>
        <v>GBP</v>
      </c>
      <c r="C18" s="90" t="str">
        <f t="shared" si="1"/>
        <v>CAD</v>
      </c>
      <c r="D18" s="91">
        <v>100000</v>
      </c>
      <c r="E18" s="92">
        <f t="shared" si="2"/>
        <v>1E-4</v>
      </c>
      <c r="F18" s="91" t="b">
        <f t="shared" si="3"/>
        <v>0</v>
      </c>
      <c r="G18" s="93" t="b">
        <f t="shared" si="4"/>
        <v>0</v>
      </c>
      <c r="H18" s="93" t="str">
        <f t="shared" si="5"/>
        <v>FALSE</v>
      </c>
      <c r="I18" s="93" t="str">
        <f t="shared" si="6"/>
        <v>FALSE</v>
      </c>
      <c r="J18" s="94">
        <f>VLOOKUP(A18,'Data Feed'!$A$3:$E$30,3,FALSE)</f>
        <v>1.6986000000000001</v>
      </c>
      <c r="K18" s="95">
        <f>VLOOKUP(A18,'Data Feed'!$A$3:$E$30,4,FALSE)</f>
        <v>1.6986399999999999</v>
      </c>
      <c r="L18" s="96">
        <f t="shared" si="7"/>
        <v>7.2966603185721892</v>
      </c>
      <c r="M18" s="97" t="str">
        <f t="shared" si="8"/>
        <v/>
      </c>
      <c r="N18" s="97" t="str">
        <f t="shared" si="9"/>
        <v/>
      </c>
      <c r="O18" s="88" t="str">
        <f t="shared" si="10"/>
        <v>USDCAD</v>
      </c>
      <c r="P18" s="94">
        <f t="shared" si="11"/>
        <v>1.37049</v>
      </c>
      <c r="Q18" s="89" t="str">
        <f t="shared" si="12"/>
        <v>ASK</v>
      </c>
      <c r="R18" s="97">
        <f t="shared" si="13"/>
        <v>7.2966603185721892</v>
      </c>
      <c r="S18" s="88">
        <f t="shared" si="16"/>
        <v>1</v>
      </c>
      <c r="T18" s="98">
        <f t="shared" si="14"/>
        <v>100</v>
      </c>
      <c r="U18" s="99">
        <f t="shared" si="15"/>
        <v>10000</v>
      </c>
      <c r="V18" s="124">
        <f t="shared" si="19"/>
        <v>137.04900000000001</v>
      </c>
    </row>
    <row r="19" spans="1:22" s="21" customFormat="1" ht="16.5" customHeight="1" x14ac:dyDescent="0.3">
      <c r="A19" s="88" t="s">
        <v>29</v>
      </c>
      <c r="B19" s="89" t="str">
        <f t="shared" si="0"/>
        <v>GBP</v>
      </c>
      <c r="C19" s="90" t="str">
        <f t="shared" si="1"/>
        <v>CHF</v>
      </c>
      <c r="D19" s="91">
        <v>100000</v>
      </c>
      <c r="E19" s="92">
        <f t="shared" si="2"/>
        <v>1E-4</v>
      </c>
      <c r="F19" s="91" t="b">
        <f t="shared" si="3"/>
        <v>0</v>
      </c>
      <c r="G19" s="93" t="b">
        <f t="shared" si="4"/>
        <v>0</v>
      </c>
      <c r="H19" s="93" t="str">
        <f t="shared" si="5"/>
        <v>FALSE</v>
      </c>
      <c r="I19" s="93" t="str">
        <f t="shared" si="6"/>
        <v>FALSE</v>
      </c>
      <c r="J19" s="94">
        <f>VLOOKUP(A19,'Data Feed'!$A$3:$E$30,3,FALSE)</f>
        <v>1.1914400000000001</v>
      </c>
      <c r="K19" s="95">
        <f>VLOOKUP(A19,'Data Feed'!$A$3:$E$30,4,FALSE)</f>
        <v>1.1915</v>
      </c>
      <c r="L19" s="96">
        <f t="shared" si="7"/>
        <v>10.402363416968337</v>
      </c>
      <c r="M19" s="97" t="str">
        <f t="shared" si="8"/>
        <v/>
      </c>
      <c r="N19" s="97" t="str">
        <f t="shared" si="9"/>
        <v/>
      </c>
      <c r="O19" s="88" t="str">
        <f t="shared" si="10"/>
        <v>USDCHF</v>
      </c>
      <c r="P19" s="94">
        <f t="shared" si="11"/>
        <v>0.96131999999999995</v>
      </c>
      <c r="Q19" s="89" t="str">
        <f t="shared" si="12"/>
        <v>ASK</v>
      </c>
      <c r="R19" s="97">
        <f t="shared" si="13"/>
        <v>10.402363416968337</v>
      </c>
      <c r="S19" s="88">
        <f t="shared" si="16"/>
        <v>1</v>
      </c>
      <c r="T19" s="98">
        <f t="shared" si="14"/>
        <v>100</v>
      </c>
      <c r="U19" s="99">
        <f t="shared" si="15"/>
        <v>10000</v>
      </c>
      <c r="V19" s="124">
        <f t="shared" si="19"/>
        <v>96.131999999999991</v>
      </c>
    </row>
    <row r="20" spans="1:22" s="21" customFormat="1" ht="16.5" customHeight="1" x14ac:dyDescent="0.3">
      <c r="A20" s="88" t="s">
        <v>19</v>
      </c>
      <c r="B20" s="89" t="str">
        <f t="shared" si="0"/>
        <v>GBP</v>
      </c>
      <c r="C20" s="90" t="str">
        <f t="shared" si="1"/>
        <v>JPY</v>
      </c>
      <c r="D20" s="91">
        <v>100000</v>
      </c>
      <c r="E20" s="92">
        <f t="shared" si="2"/>
        <v>0.01</v>
      </c>
      <c r="F20" s="91" t="b">
        <f t="shared" si="3"/>
        <v>1</v>
      </c>
      <c r="G20" s="93" t="b">
        <f t="shared" si="4"/>
        <v>0</v>
      </c>
      <c r="H20" s="93" t="str">
        <f t="shared" si="5"/>
        <v>FALSE</v>
      </c>
      <c r="I20" s="93" t="str">
        <f t="shared" si="6"/>
        <v>FALSE</v>
      </c>
      <c r="J20" s="94">
        <f>VLOOKUP(A20,'Data Feed'!$A$3:$E$30,3,FALSE)</f>
        <v>133.51400000000001</v>
      </c>
      <c r="K20" s="95">
        <f>VLOOKUP(A20,'Data Feed'!$A$3:$E$30,4,FALSE)</f>
        <v>133.51599999999999</v>
      </c>
      <c r="L20" s="96">
        <f t="shared" si="7"/>
        <v>9.2825515877804499</v>
      </c>
      <c r="M20" s="97" t="str">
        <f t="shared" si="8"/>
        <v/>
      </c>
      <c r="N20" s="97" t="str">
        <f t="shared" si="9"/>
        <v/>
      </c>
      <c r="O20" s="88" t="str">
        <f t="shared" si="10"/>
        <v>USDJPY</v>
      </c>
      <c r="P20" s="94">
        <f t="shared" si="11"/>
        <v>107.729</v>
      </c>
      <c r="Q20" s="89" t="str">
        <f t="shared" si="12"/>
        <v>ASK</v>
      </c>
      <c r="R20" s="97">
        <f t="shared" si="13"/>
        <v>9.2825515877804499</v>
      </c>
      <c r="S20" s="88">
        <f t="shared" si="16"/>
        <v>100</v>
      </c>
      <c r="T20" s="98">
        <f t="shared" si="14"/>
        <v>100</v>
      </c>
      <c r="U20" s="99">
        <f t="shared" si="15"/>
        <v>10000</v>
      </c>
      <c r="V20" s="124">
        <f t="shared" si="19"/>
        <v>107.729</v>
      </c>
    </row>
    <row r="21" spans="1:22" s="21" customFormat="1" ht="16.5" customHeight="1" x14ac:dyDescent="0.3">
      <c r="A21" s="88" t="s">
        <v>13</v>
      </c>
      <c r="B21" s="89" t="str">
        <f t="shared" si="0"/>
        <v>NZD</v>
      </c>
      <c r="C21" s="90" t="str">
        <f t="shared" si="1"/>
        <v>CAD</v>
      </c>
      <c r="D21" s="91">
        <v>100000</v>
      </c>
      <c r="E21" s="92">
        <f t="shared" si="2"/>
        <v>1E-4</v>
      </c>
      <c r="F21" s="91" t="b">
        <f t="shared" si="3"/>
        <v>0</v>
      </c>
      <c r="G21" s="93" t="b">
        <f t="shared" si="4"/>
        <v>0</v>
      </c>
      <c r="H21" s="93" t="str">
        <f t="shared" si="5"/>
        <v>FALSE</v>
      </c>
      <c r="I21" s="93" t="str">
        <f t="shared" si="6"/>
        <v>FALSE</v>
      </c>
      <c r="J21" s="94">
        <f>VLOOKUP(A21,'Data Feed'!$A$3:$E$30,3,FALSE)</f>
        <v>0.85472000000000004</v>
      </c>
      <c r="K21" s="95">
        <f>VLOOKUP(A21,'Data Feed'!$A$3:$E$30,4,FALSE)</f>
        <v>0.85479000000000005</v>
      </c>
      <c r="L21" s="96">
        <f t="shared" si="7"/>
        <v>7.2966603185721892</v>
      </c>
      <c r="M21" s="97" t="str">
        <f t="shared" si="8"/>
        <v/>
      </c>
      <c r="N21" s="97" t="str">
        <f t="shared" si="9"/>
        <v/>
      </c>
      <c r="O21" s="88" t="str">
        <f t="shared" si="10"/>
        <v>USDCAD</v>
      </c>
      <c r="P21" s="94">
        <f t="shared" si="11"/>
        <v>1.37049</v>
      </c>
      <c r="Q21" s="89" t="str">
        <f t="shared" si="12"/>
        <v>ASK</v>
      </c>
      <c r="R21" s="97">
        <f t="shared" si="13"/>
        <v>7.2966603185721892</v>
      </c>
      <c r="S21" s="88">
        <f t="shared" si="16"/>
        <v>1</v>
      </c>
      <c r="T21" s="98">
        <f t="shared" si="14"/>
        <v>100</v>
      </c>
      <c r="U21" s="99">
        <f t="shared" si="15"/>
        <v>10000</v>
      </c>
      <c r="V21" s="124">
        <f t="shared" si="19"/>
        <v>137.04900000000001</v>
      </c>
    </row>
    <row r="22" spans="1:22" s="21" customFormat="1" ht="16.5" customHeight="1" x14ac:dyDescent="0.3">
      <c r="A22" s="88" t="s">
        <v>28</v>
      </c>
      <c r="B22" s="89" t="str">
        <f t="shared" si="0"/>
        <v>NZD</v>
      </c>
      <c r="C22" s="90" t="str">
        <f t="shared" si="1"/>
        <v>CHF</v>
      </c>
      <c r="D22" s="91">
        <v>100000</v>
      </c>
      <c r="E22" s="92">
        <f t="shared" si="2"/>
        <v>1E-4</v>
      </c>
      <c r="F22" s="91" t="b">
        <f t="shared" si="3"/>
        <v>0</v>
      </c>
      <c r="G22" s="93" t="b">
        <f t="shared" si="4"/>
        <v>0</v>
      </c>
      <c r="H22" s="93" t="str">
        <f t="shared" si="5"/>
        <v>FALSE</v>
      </c>
      <c r="I22" s="93" t="str">
        <f t="shared" si="6"/>
        <v>FALSE</v>
      </c>
      <c r="J22" s="94">
        <f>VLOOKUP(A22,'Data Feed'!$A$3:$E$30,3,FALSE)</f>
        <v>0.59953000000000001</v>
      </c>
      <c r="K22" s="95">
        <f>VLOOKUP(A22,'Data Feed'!$A$3:$E$30,4,FALSE)</f>
        <v>0.59957000000000005</v>
      </c>
      <c r="L22" s="96">
        <f t="shared" si="7"/>
        <v>10.402363416968337</v>
      </c>
      <c r="M22" s="97" t="str">
        <f t="shared" si="8"/>
        <v/>
      </c>
      <c r="N22" s="97" t="str">
        <f t="shared" si="9"/>
        <v/>
      </c>
      <c r="O22" s="88" t="str">
        <f t="shared" si="10"/>
        <v>USDCHF</v>
      </c>
      <c r="P22" s="94">
        <f t="shared" si="11"/>
        <v>0.96131999999999995</v>
      </c>
      <c r="Q22" s="89" t="str">
        <f t="shared" si="12"/>
        <v>ASK</v>
      </c>
      <c r="R22" s="97">
        <f t="shared" si="13"/>
        <v>10.402363416968337</v>
      </c>
      <c r="S22" s="88">
        <f t="shared" si="16"/>
        <v>1</v>
      </c>
      <c r="T22" s="98">
        <f t="shared" si="14"/>
        <v>100</v>
      </c>
      <c r="U22" s="99">
        <f t="shared" si="15"/>
        <v>10000</v>
      </c>
      <c r="V22" s="124">
        <f t="shared" si="19"/>
        <v>96.131999999999991</v>
      </c>
    </row>
    <row r="23" spans="1:22" s="21" customFormat="1" ht="16.5" customHeight="1" x14ac:dyDescent="0.3">
      <c r="A23" s="88" t="s">
        <v>18</v>
      </c>
      <c r="B23" s="89" t="str">
        <f t="shared" si="0"/>
        <v>NZD</v>
      </c>
      <c r="C23" s="90" t="str">
        <f t="shared" si="1"/>
        <v>JPY</v>
      </c>
      <c r="D23" s="91">
        <v>100000</v>
      </c>
      <c r="E23" s="92">
        <f t="shared" si="2"/>
        <v>0.01</v>
      </c>
      <c r="F23" s="91" t="b">
        <f t="shared" si="3"/>
        <v>1</v>
      </c>
      <c r="G23" s="93" t="b">
        <f t="shared" si="4"/>
        <v>0</v>
      </c>
      <c r="H23" s="93" t="str">
        <f t="shared" si="5"/>
        <v>FALSE</v>
      </c>
      <c r="I23" s="93" t="str">
        <f t="shared" si="6"/>
        <v>FALSE</v>
      </c>
      <c r="J23" s="94">
        <f>VLOOKUP(A23,'Data Feed'!$A$3:$E$30,3,FALSE)</f>
        <v>67.185000000000002</v>
      </c>
      <c r="K23" s="95">
        <f>VLOOKUP(A23,'Data Feed'!$A$3:$E$30,4,FALSE)</f>
        <v>67.188999999999993</v>
      </c>
      <c r="L23" s="96">
        <f t="shared" si="7"/>
        <v>9.2825515877804499</v>
      </c>
      <c r="M23" s="97" t="str">
        <f t="shared" si="8"/>
        <v/>
      </c>
      <c r="N23" s="97" t="str">
        <f t="shared" si="9"/>
        <v/>
      </c>
      <c r="O23" s="88" t="str">
        <f t="shared" si="10"/>
        <v>USDJPY</v>
      </c>
      <c r="P23" s="94">
        <f t="shared" si="11"/>
        <v>107.729</v>
      </c>
      <c r="Q23" s="89" t="str">
        <f t="shared" si="12"/>
        <v>ASK</v>
      </c>
      <c r="R23" s="97">
        <f t="shared" si="13"/>
        <v>9.2825515877804499</v>
      </c>
      <c r="S23" s="88">
        <f t="shared" si="16"/>
        <v>100</v>
      </c>
      <c r="T23" s="98">
        <f t="shared" si="14"/>
        <v>100</v>
      </c>
      <c r="U23" s="99">
        <f t="shared" si="15"/>
        <v>10000</v>
      </c>
      <c r="V23" s="124">
        <f t="shared" si="19"/>
        <v>107.729</v>
      </c>
    </row>
    <row r="24" spans="1:22" s="21" customFormat="1" ht="16.5" customHeight="1" x14ac:dyDescent="0.3">
      <c r="A24" s="88" t="s">
        <v>9</v>
      </c>
      <c r="B24" s="89" t="str">
        <f t="shared" si="0"/>
        <v>AUD</v>
      </c>
      <c r="C24" s="90" t="str">
        <f t="shared" si="1"/>
        <v>NZD</v>
      </c>
      <c r="D24" s="91">
        <v>100000</v>
      </c>
      <c r="E24" s="92">
        <f t="shared" si="2"/>
        <v>1E-4</v>
      </c>
      <c r="F24" s="91" t="b">
        <f t="shared" si="3"/>
        <v>0</v>
      </c>
      <c r="G24" s="93" t="b">
        <f t="shared" si="4"/>
        <v>0</v>
      </c>
      <c r="H24" s="93" t="str">
        <f t="shared" si="5"/>
        <v>FALSE</v>
      </c>
      <c r="I24" s="93" t="str">
        <f t="shared" si="6"/>
        <v>FALSE</v>
      </c>
      <c r="J24" s="94">
        <f>VLOOKUP(A24,'Data Feed'!$A$3:$E$30,3,FALSE)</f>
        <v>1.08084</v>
      </c>
      <c r="K24" s="95">
        <f>VLOOKUP(A24,'Data Feed'!$A$3:$E$30,4,FALSE)</f>
        <v>1.0809</v>
      </c>
      <c r="L24" s="96">
        <f t="shared" si="7"/>
        <v>6.2368000000000006</v>
      </c>
      <c r="M24" s="97" t="str">
        <f t="shared" si="8"/>
        <v/>
      </c>
      <c r="N24" s="97" t="str">
        <f t="shared" si="9"/>
        <v/>
      </c>
      <c r="O24" s="88" t="str">
        <f t="shared" si="10"/>
        <v>NZDUSD</v>
      </c>
      <c r="P24" s="94">
        <f t="shared" si="11"/>
        <v>0.62368000000000001</v>
      </c>
      <c r="Q24" s="89" t="str">
        <f t="shared" si="12"/>
        <v>BID</v>
      </c>
      <c r="R24" s="97">
        <f t="shared" si="13"/>
        <v>6.2368000000000006</v>
      </c>
      <c r="S24" s="88">
        <f t="shared" si="16"/>
        <v>1</v>
      </c>
      <c r="T24" s="98">
        <f t="shared" si="14"/>
        <v>100</v>
      </c>
      <c r="U24" s="99">
        <f t="shared" si="15"/>
        <v>10000</v>
      </c>
      <c r="V24" s="124">
        <f t="shared" si="19"/>
        <v>62.368000000000002</v>
      </c>
    </row>
    <row r="25" spans="1:22" s="21" customFormat="1" ht="16.5" customHeight="1" x14ac:dyDescent="0.3">
      <c r="A25" s="88" t="s">
        <v>11</v>
      </c>
      <c r="B25" s="89" t="str">
        <f t="shared" si="0"/>
        <v>EUR</v>
      </c>
      <c r="C25" s="90" t="str">
        <f t="shared" si="1"/>
        <v>AUD</v>
      </c>
      <c r="D25" s="91">
        <v>100000</v>
      </c>
      <c r="E25" s="92">
        <f t="shared" si="2"/>
        <v>1E-4</v>
      </c>
      <c r="F25" s="91" t="b">
        <f t="shared" si="3"/>
        <v>0</v>
      </c>
      <c r="G25" s="93" t="b">
        <f t="shared" si="4"/>
        <v>0</v>
      </c>
      <c r="H25" s="93" t="str">
        <f t="shared" si="5"/>
        <v>FALSE</v>
      </c>
      <c r="I25" s="93" t="str">
        <f t="shared" si="6"/>
        <v>FALSE</v>
      </c>
      <c r="J25" s="94">
        <f>VLOOKUP(A25,'Data Feed'!$A$3:$E$30,3,FALSE)</f>
        <v>1.649</v>
      </c>
      <c r="K25" s="95">
        <f>VLOOKUP(A25,'Data Feed'!$A$3:$E$30,4,FALSE)</f>
        <v>1.6490199999999999</v>
      </c>
      <c r="L25" s="96">
        <f t="shared" si="7"/>
        <v>6.7410000000000005</v>
      </c>
      <c r="M25" s="97" t="str">
        <f t="shared" si="8"/>
        <v/>
      </c>
      <c r="N25" s="97" t="str">
        <f t="shared" si="9"/>
        <v/>
      </c>
      <c r="O25" s="88" t="str">
        <f t="shared" si="10"/>
        <v>AUDUSD</v>
      </c>
      <c r="P25" s="94">
        <f t="shared" si="11"/>
        <v>0.67410000000000003</v>
      </c>
      <c r="Q25" s="89" t="str">
        <f t="shared" si="12"/>
        <v>BID</v>
      </c>
      <c r="R25" s="97">
        <f t="shared" si="13"/>
        <v>6.7410000000000005</v>
      </c>
      <c r="S25" s="88">
        <f t="shared" si="16"/>
        <v>1</v>
      </c>
      <c r="T25" s="98">
        <f t="shared" si="14"/>
        <v>100</v>
      </c>
      <c r="U25" s="99">
        <f t="shared" si="15"/>
        <v>10000</v>
      </c>
      <c r="V25" s="124">
        <f t="shared" si="19"/>
        <v>67.41</v>
      </c>
    </row>
    <row r="26" spans="1:22" s="21" customFormat="1" ht="16.5" customHeight="1" x14ac:dyDescent="0.3">
      <c r="A26" s="88" t="s">
        <v>33</v>
      </c>
      <c r="B26" s="89" t="str">
        <f t="shared" si="0"/>
        <v>EUR</v>
      </c>
      <c r="C26" s="90" t="str">
        <f t="shared" si="1"/>
        <v>GBP</v>
      </c>
      <c r="D26" s="91">
        <v>100000</v>
      </c>
      <c r="E26" s="92">
        <f t="shared" si="2"/>
        <v>1E-4</v>
      </c>
      <c r="F26" s="91" t="b">
        <f t="shared" si="3"/>
        <v>0</v>
      </c>
      <c r="G26" s="93" t="b">
        <f t="shared" si="4"/>
        <v>0</v>
      </c>
      <c r="H26" s="93" t="str">
        <f t="shared" si="5"/>
        <v>FALSE</v>
      </c>
      <c r="I26" s="93" t="str">
        <f t="shared" si="6"/>
        <v>FALSE</v>
      </c>
      <c r="J26" s="94">
        <f>VLOOKUP(A26,'Data Feed'!$A$3:$E$30,3,FALSE)</f>
        <v>0.89686999999999995</v>
      </c>
      <c r="K26" s="95">
        <f>VLOOKUP(A26,'Data Feed'!$A$3:$E$30,4,FALSE)</f>
        <v>0.89688999999999997</v>
      </c>
      <c r="L26" s="96">
        <f t="shared" si="7"/>
        <v>12.394099999999998</v>
      </c>
      <c r="M26" s="97" t="str">
        <f t="shared" si="8"/>
        <v/>
      </c>
      <c r="N26" s="97" t="str">
        <f t="shared" si="9"/>
        <v/>
      </c>
      <c r="O26" s="88" t="str">
        <f t="shared" si="10"/>
        <v>GBPUSD</v>
      </c>
      <c r="P26" s="94">
        <f t="shared" si="11"/>
        <v>1.2394099999999999</v>
      </c>
      <c r="Q26" s="89" t="str">
        <f t="shared" si="12"/>
        <v>BID</v>
      </c>
      <c r="R26" s="97">
        <f t="shared" si="13"/>
        <v>12.394099999999998</v>
      </c>
      <c r="S26" s="88">
        <f t="shared" si="16"/>
        <v>1</v>
      </c>
      <c r="T26" s="98">
        <f t="shared" si="14"/>
        <v>100</v>
      </c>
      <c r="U26" s="99">
        <f t="shared" si="15"/>
        <v>10000</v>
      </c>
      <c r="V26" s="124">
        <f t="shared" si="19"/>
        <v>123.94099999999999</v>
      </c>
    </row>
    <row r="27" spans="1:22" s="21" customFormat="1" ht="16.5" customHeight="1" x14ac:dyDescent="0.3">
      <c r="A27" s="88" t="s">
        <v>8</v>
      </c>
      <c r="B27" s="89" t="str">
        <f t="shared" si="0"/>
        <v>EUR</v>
      </c>
      <c r="C27" s="90" t="str">
        <f t="shared" si="1"/>
        <v>NZD</v>
      </c>
      <c r="D27" s="91">
        <v>100000</v>
      </c>
      <c r="E27" s="92">
        <f t="shared" si="2"/>
        <v>1E-4</v>
      </c>
      <c r="F27" s="91" t="b">
        <f t="shared" si="3"/>
        <v>0</v>
      </c>
      <c r="G27" s="93" t="b">
        <f t="shared" si="4"/>
        <v>0</v>
      </c>
      <c r="H27" s="93" t="str">
        <f t="shared" si="5"/>
        <v>FALSE</v>
      </c>
      <c r="I27" s="93" t="str">
        <f t="shared" si="6"/>
        <v>FALSE</v>
      </c>
      <c r="J27" s="94">
        <f>VLOOKUP(A27,'Data Feed'!$A$3:$E$30,3,FALSE)</f>
        <v>1.78226</v>
      </c>
      <c r="K27" s="95">
        <f>VLOOKUP(A27,'Data Feed'!$A$3:$E$30,4,FALSE)</f>
        <v>1.78237</v>
      </c>
      <c r="L27" s="96">
        <f t="shared" si="7"/>
        <v>6.2368000000000006</v>
      </c>
      <c r="M27" s="97" t="str">
        <f t="shared" si="8"/>
        <v/>
      </c>
      <c r="N27" s="97" t="str">
        <f t="shared" si="9"/>
        <v/>
      </c>
      <c r="O27" s="88" t="str">
        <f t="shared" si="10"/>
        <v>NZDUSD</v>
      </c>
      <c r="P27" s="94">
        <f t="shared" si="11"/>
        <v>0.62368000000000001</v>
      </c>
      <c r="Q27" s="89" t="str">
        <f t="shared" si="12"/>
        <v>BID</v>
      </c>
      <c r="R27" s="97">
        <f t="shared" si="13"/>
        <v>6.2368000000000006</v>
      </c>
      <c r="S27" s="88">
        <f t="shared" si="16"/>
        <v>1</v>
      </c>
      <c r="T27" s="98">
        <f t="shared" si="14"/>
        <v>100</v>
      </c>
      <c r="U27" s="99">
        <f t="shared" si="15"/>
        <v>10000</v>
      </c>
      <c r="V27" s="124">
        <f t="shared" si="19"/>
        <v>62.368000000000002</v>
      </c>
    </row>
    <row r="28" spans="1:22" s="21" customFormat="1" ht="16.5" customHeight="1" x14ac:dyDescent="0.3">
      <c r="A28" s="88" t="s">
        <v>10</v>
      </c>
      <c r="B28" s="89" t="str">
        <f t="shared" si="0"/>
        <v>GBP</v>
      </c>
      <c r="C28" s="90" t="str">
        <f t="shared" si="1"/>
        <v>AUD</v>
      </c>
      <c r="D28" s="91">
        <v>100000</v>
      </c>
      <c r="E28" s="92">
        <f t="shared" si="2"/>
        <v>1E-4</v>
      </c>
      <c r="F28" s="91" t="b">
        <f t="shared" si="3"/>
        <v>0</v>
      </c>
      <c r="G28" s="93" t="b">
        <f t="shared" si="4"/>
        <v>0</v>
      </c>
      <c r="H28" s="93" t="str">
        <f t="shared" si="5"/>
        <v>FALSE</v>
      </c>
      <c r="I28" s="93" t="str">
        <f t="shared" si="6"/>
        <v>FALSE</v>
      </c>
      <c r="J28" s="94">
        <f>VLOOKUP(A28,'Data Feed'!$A$3:$E$30,3,FALSE)</f>
        <v>1.8386100000000001</v>
      </c>
      <c r="K28" s="95">
        <f>VLOOKUP(A28,'Data Feed'!$A$3:$E$30,4,FALSE)</f>
        <v>1.83866</v>
      </c>
      <c r="L28" s="96">
        <f t="shared" si="7"/>
        <v>6.7410000000000005</v>
      </c>
      <c r="M28" s="97" t="str">
        <f t="shared" si="8"/>
        <v/>
      </c>
      <c r="N28" s="97" t="str">
        <f t="shared" si="9"/>
        <v/>
      </c>
      <c r="O28" s="88" t="str">
        <f t="shared" si="10"/>
        <v>AUDUSD</v>
      </c>
      <c r="P28" s="94">
        <f t="shared" si="11"/>
        <v>0.67410000000000003</v>
      </c>
      <c r="Q28" s="89" t="str">
        <f t="shared" si="12"/>
        <v>BID</v>
      </c>
      <c r="R28" s="97">
        <f t="shared" si="13"/>
        <v>6.7410000000000005</v>
      </c>
      <c r="S28" s="88">
        <f t="shared" si="16"/>
        <v>1</v>
      </c>
      <c r="T28" s="98">
        <f t="shared" si="14"/>
        <v>100</v>
      </c>
      <c r="U28" s="99">
        <f t="shared" si="15"/>
        <v>10000</v>
      </c>
      <c r="V28" s="124">
        <f t="shared" si="19"/>
        <v>67.41</v>
      </c>
    </row>
    <row r="29" spans="1:22" s="21" customFormat="1" ht="16.5" customHeight="1" x14ac:dyDescent="0.3">
      <c r="A29" s="88" t="s">
        <v>7</v>
      </c>
      <c r="B29" s="89" t="str">
        <f t="shared" si="0"/>
        <v>GBP</v>
      </c>
      <c r="C29" s="90" t="str">
        <f t="shared" si="1"/>
        <v>NZD</v>
      </c>
      <c r="D29" s="91">
        <v>100000</v>
      </c>
      <c r="E29" s="92">
        <f t="shared" si="2"/>
        <v>1E-4</v>
      </c>
      <c r="F29" s="91" t="b">
        <f t="shared" si="3"/>
        <v>0</v>
      </c>
      <c r="G29" s="93" t="b">
        <f t="shared" si="4"/>
        <v>0</v>
      </c>
      <c r="H29" s="93" t="str">
        <f t="shared" si="5"/>
        <v>FALSE</v>
      </c>
      <c r="I29" s="93" t="str">
        <f t="shared" si="6"/>
        <v>FALSE</v>
      </c>
      <c r="J29" s="94">
        <f>VLOOKUP(A29,'Data Feed'!$A$3:$E$30,3,FALSE)</f>
        <v>1.9872300000000001</v>
      </c>
      <c r="K29" s="95">
        <f>VLOOKUP(A29,'Data Feed'!$A$3:$E$30,4,FALSE)</f>
        <v>1.98733</v>
      </c>
      <c r="L29" s="96">
        <f t="shared" si="7"/>
        <v>6.2368000000000006</v>
      </c>
      <c r="M29" s="97" t="str">
        <f t="shared" si="8"/>
        <v/>
      </c>
      <c r="N29" s="97" t="str">
        <f t="shared" si="9"/>
        <v/>
      </c>
      <c r="O29" s="88" t="str">
        <f t="shared" si="10"/>
        <v>NZDUSD</v>
      </c>
      <c r="P29" s="94">
        <f t="shared" si="11"/>
        <v>0.62368000000000001</v>
      </c>
      <c r="Q29" s="89" t="str">
        <f t="shared" si="12"/>
        <v>BID</v>
      </c>
      <c r="R29" s="97">
        <f t="shared" si="13"/>
        <v>6.2368000000000006</v>
      </c>
      <c r="S29" s="88">
        <f t="shared" si="16"/>
        <v>1</v>
      </c>
      <c r="T29" s="98">
        <f t="shared" si="14"/>
        <v>100</v>
      </c>
      <c r="U29" s="99">
        <f t="shared" si="15"/>
        <v>10000</v>
      </c>
      <c r="V29" s="124">
        <f t="shared" si="19"/>
        <v>62.368000000000002</v>
      </c>
    </row>
    <row r="30" spans="1:22" ht="16.5" customHeight="1" x14ac:dyDescent="0.3">
      <c r="A30" s="2"/>
      <c r="B30" s="3"/>
      <c r="C30" s="4"/>
      <c r="D30" s="5"/>
      <c r="E30" s="6"/>
      <c r="F30" s="5"/>
      <c r="G30" s="7"/>
      <c r="H30" s="7"/>
      <c r="I30" s="7"/>
      <c r="K30" s="9"/>
    </row>
    <row r="31" spans="1:22" ht="16.5" customHeight="1" x14ac:dyDescent="0.3">
      <c r="A31" s="150" t="s">
        <v>106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</row>
    <row r="32" spans="1:22" ht="16.5" customHeight="1" x14ac:dyDescent="0.3">
      <c r="A32" s="2"/>
      <c r="B32" s="3"/>
      <c r="C32" s="4"/>
      <c r="D32" s="5"/>
      <c r="E32" s="6"/>
      <c r="F32" s="5"/>
      <c r="G32" s="7"/>
      <c r="H32" s="7"/>
      <c r="I32" s="7"/>
      <c r="K32" s="9"/>
    </row>
    <row r="33" spans="1:22" s="13" customFormat="1" ht="16.5" customHeight="1" x14ac:dyDescent="0.3">
      <c r="A33" s="2"/>
      <c r="B33" s="3"/>
      <c r="C33" s="4"/>
      <c r="D33" s="5"/>
      <c r="E33" s="6"/>
      <c r="F33" s="5"/>
      <c r="G33" s="7"/>
      <c r="H33" s="7"/>
      <c r="I33" s="7"/>
      <c r="J33" s="8"/>
      <c r="K33" s="9"/>
      <c r="L33" s="10"/>
      <c r="M33" s="11"/>
      <c r="N33" s="11"/>
      <c r="O33" s="1"/>
      <c r="P33" s="8"/>
      <c r="Q33" s="12"/>
      <c r="R33" s="11"/>
      <c r="S33" s="1"/>
      <c r="T33" s="1"/>
      <c r="U33" s="1"/>
      <c r="V33" s="16"/>
    </row>
    <row r="34" spans="1:22" s="13" customFormat="1" ht="16.5" customHeight="1" x14ac:dyDescent="0.3">
      <c r="A34" s="2"/>
      <c r="B34" s="3"/>
      <c r="C34" s="4"/>
      <c r="D34" s="5"/>
      <c r="E34" s="6"/>
      <c r="F34" s="5"/>
      <c r="G34" s="7"/>
      <c r="H34" s="7"/>
      <c r="I34" s="7"/>
      <c r="J34" s="8"/>
      <c r="K34" s="9"/>
      <c r="L34" s="10"/>
      <c r="M34" s="11"/>
      <c r="N34" s="11"/>
      <c r="O34" s="1"/>
      <c r="P34" s="8"/>
      <c r="Q34" s="12"/>
      <c r="R34" s="11"/>
      <c r="S34" s="1"/>
      <c r="T34" s="1"/>
      <c r="U34" s="1"/>
      <c r="V34" s="16"/>
    </row>
    <row r="35" spans="1:22" s="13" customFormat="1" ht="16.5" customHeight="1" x14ac:dyDescent="0.3">
      <c r="A35" s="2"/>
      <c r="B35" s="3"/>
      <c r="C35" s="4"/>
      <c r="D35" s="5"/>
      <c r="E35" s="6"/>
      <c r="F35" s="5"/>
      <c r="G35" s="7"/>
      <c r="H35" s="7"/>
      <c r="I35" s="7"/>
      <c r="J35" s="8"/>
      <c r="K35" s="9"/>
      <c r="L35" s="10"/>
      <c r="M35" s="11"/>
      <c r="N35" s="11"/>
      <c r="O35" s="1"/>
      <c r="P35" s="8"/>
      <c r="Q35" s="12"/>
      <c r="R35" s="11"/>
      <c r="S35" s="1"/>
      <c r="T35" s="1"/>
      <c r="U35" s="1"/>
      <c r="V35" s="16"/>
    </row>
    <row r="36" spans="1:22" s="13" customFormat="1" ht="16.5" customHeight="1" x14ac:dyDescent="0.3">
      <c r="A36" s="2"/>
      <c r="B36" s="3"/>
      <c r="C36" s="4"/>
      <c r="D36" s="5"/>
      <c r="E36" s="6"/>
      <c r="F36" s="5"/>
      <c r="G36" s="7"/>
      <c r="H36" s="7"/>
      <c r="I36" s="7"/>
      <c r="J36" s="8"/>
      <c r="K36" s="9"/>
      <c r="L36" s="10"/>
      <c r="M36" s="11"/>
      <c r="N36" s="11"/>
      <c r="O36" s="1"/>
      <c r="P36" s="8"/>
      <c r="Q36" s="12"/>
      <c r="R36" s="11"/>
      <c r="S36" s="1"/>
      <c r="T36" s="1"/>
      <c r="U36" s="1"/>
      <c r="V36" s="16"/>
    </row>
    <row r="37" spans="1:22" s="13" customFormat="1" ht="16.5" customHeight="1" x14ac:dyDescent="0.3">
      <c r="A37" s="2"/>
      <c r="B37" s="3"/>
      <c r="C37" s="4"/>
      <c r="D37" s="5"/>
      <c r="E37" s="6"/>
      <c r="F37" s="5"/>
      <c r="G37" s="7"/>
      <c r="H37" s="7"/>
      <c r="I37" s="7"/>
      <c r="J37" s="8"/>
      <c r="K37" s="9"/>
      <c r="L37" s="10"/>
      <c r="M37" s="11"/>
      <c r="N37" s="11"/>
      <c r="O37" s="1"/>
      <c r="P37" s="8"/>
      <c r="Q37" s="12"/>
      <c r="R37" s="11"/>
      <c r="S37" s="1"/>
      <c r="T37" s="1"/>
      <c r="U37" s="1"/>
      <c r="V37" s="16"/>
    </row>
    <row r="38" spans="1:22" s="13" customFormat="1" ht="16.5" customHeight="1" x14ac:dyDescent="0.3">
      <c r="A38" s="2"/>
      <c r="B38" s="3"/>
      <c r="C38" s="4"/>
      <c r="D38" s="5"/>
      <c r="E38" s="6"/>
      <c r="F38" s="5"/>
      <c r="G38" s="7"/>
      <c r="H38" s="7"/>
      <c r="I38" s="7"/>
      <c r="J38" s="8"/>
      <c r="K38" s="9"/>
      <c r="L38" s="10"/>
      <c r="M38" s="11"/>
      <c r="N38" s="11"/>
      <c r="O38" s="1"/>
      <c r="P38" s="8"/>
      <c r="Q38" s="12"/>
      <c r="R38" s="11"/>
      <c r="S38" s="1"/>
      <c r="T38" s="1"/>
      <c r="U38" s="1"/>
      <c r="V38" s="16"/>
    </row>
    <row r="39" spans="1:22" s="13" customFormat="1" ht="16.5" customHeight="1" x14ac:dyDescent="0.3">
      <c r="A39" s="2"/>
      <c r="B39" s="3"/>
      <c r="C39" s="4"/>
      <c r="D39" s="5"/>
      <c r="E39" s="6"/>
      <c r="F39" s="5"/>
      <c r="G39" s="7"/>
      <c r="H39" s="7"/>
      <c r="I39" s="7"/>
      <c r="J39" s="8"/>
      <c r="K39" s="9"/>
      <c r="L39" s="10"/>
      <c r="M39" s="11"/>
      <c r="N39" s="11"/>
      <c r="O39" s="1"/>
      <c r="P39" s="8"/>
      <c r="Q39" s="12"/>
      <c r="R39" s="11"/>
      <c r="S39" s="1"/>
      <c r="T39" s="1"/>
      <c r="U39" s="1"/>
      <c r="V39" s="16"/>
    </row>
    <row r="40" spans="1:22" s="13" customFormat="1" ht="16.5" customHeight="1" x14ac:dyDescent="0.3">
      <c r="A40" s="2"/>
      <c r="B40" s="3"/>
      <c r="C40" s="4"/>
      <c r="D40" s="5"/>
      <c r="E40" s="6"/>
      <c r="F40" s="5"/>
      <c r="G40" s="7"/>
      <c r="H40" s="7"/>
      <c r="I40" s="7"/>
      <c r="J40" s="8"/>
      <c r="K40" s="9"/>
      <c r="L40" s="10"/>
      <c r="M40" s="11"/>
      <c r="N40" s="11"/>
      <c r="O40" s="1"/>
      <c r="P40" s="8"/>
      <c r="Q40" s="12"/>
      <c r="R40" s="11"/>
      <c r="S40" s="1"/>
      <c r="T40" s="1"/>
      <c r="U40" s="1"/>
      <c r="V40" s="16"/>
    </row>
    <row r="41" spans="1:22" s="13" customFormat="1" ht="16.5" customHeight="1" x14ac:dyDescent="0.3">
      <c r="A41" s="2"/>
      <c r="B41" s="3"/>
      <c r="C41" s="4"/>
      <c r="D41" s="5"/>
      <c r="E41" s="6"/>
      <c r="F41" s="5"/>
      <c r="G41" s="7"/>
      <c r="H41" s="7"/>
      <c r="I41" s="7"/>
      <c r="J41" s="8"/>
      <c r="K41" s="9"/>
      <c r="L41" s="10"/>
      <c r="M41" s="11"/>
      <c r="N41" s="11"/>
      <c r="O41" s="1"/>
      <c r="P41" s="8"/>
      <c r="Q41" s="12"/>
      <c r="R41" s="11"/>
      <c r="S41" s="1"/>
      <c r="T41" s="1"/>
      <c r="U41" s="1"/>
      <c r="V41" s="16"/>
    </row>
    <row r="42" spans="1:22" s="13" customFormat="1" ht="16.5" customHeight="1" x14ac:dyDescent="0.3">
      <c r="A42" s="2"/>
      <c r="B42" s="3"/>
      <c r="C42" s="4"/>
      <c r="D42" s="5"/>
      <c r="E42" s="6"/>
      <c r="F42" s="5"/>
      <c r="G42" s="7"/>
      <c r="H42" s="7"/>
      <c r="I42" s="7"/>
      <c r="J42" s="8"/>
      <c r="K42" s="9"/>
      <c r="L42" s="10"/>
      <c r="M42" s="11"/>
      <c r="N42" s="11"/>
      <c r="O42" s="1"/>
      <c r="P42" s="8"/>
      <c r="Q42" s="12"/>
      <c r="R42" s="11"/>
      <c r="S42" s="1"/>
      <c r="T42" s="1"/>
      <c r="U42" s="1"/>
      <c r="V42" s="16"/>
    </row>
    <row r="43" spans="1:22" s="13" customFormat="1" ht="16.5" customHeight="1" x14ac:dyDescent="0.3">
      <c r="A43" s="2"/>
      <c r="B43" s="3"/>
      <c r="C43" s="4"/>
      <c r="D43" s="5"/>
      <c r="E43" s="6"/>
      <c r="F43" s="5"/>
      <c r="G43" s="7"/>
      <c r="H43" s="7"/>
      <c r="I43" s="7"/>
      <c r="J43" s="8"/>
      <c r="K43" s="9"/>
      <c r="L43" s="10"/>
      <c r="M43" s="11"/>
      <c r="N43" s="11"/>
      <c r="O43" s="1"/>
      <c r="P43" s="8"/>
      <c r="Q43" s="12"/>
      <c r="R43" s="11"/>
      <c r="S43" s="1"/>
      <c r="T43" s="1"/>
      <c r="U43" s="1"/>
      <c r="V43" s="16"/>
    </row>
    <row r="44" spans="1:22" s="13" customFormat="1" ht="16.5" customHeight="1" x14ac:dyDescent="0.3">
      <c r="A44" s="2"/>
      <c r="B44" s="3"/>
      <c r="C44" s="4"/>
      <c r="D44" s="5"/>
      <c r="E44" s="6"/>
      <c r="F44" s="5"/>
      <c r="G44" s="7"/>
      <c r="H44" s="7"/>
      <c r="I44" s="7"/>
      <c r="J44" s="8"/>
      <c r="K44" s="9"/>
      <c r="L44" s="10"/>
      <c r="M44" s="11"/>
      <c r="N44" s="11"/>
      <c r="O44" s="1"/>
      <c r="P44" s="8"/>
      <c r="Q44" s="12"/>
      <c r="R44" s="11"/>
      <c r="S44" s="1"/>
      <c r="T44" s="1"/>
      <c r="U44" s="1"/>
      <c r="V44" s="16"/>
    </row>
    <row r="45" spans="1:22" s="13" customFormat="1" ht="16.5" customHeight="1" x14ac:dyDescent="0.3">
      <c r="A45" s="2"/>
      <c r="B45" s="3"/>
      <c r="C45" s="4"/>
      <c r="D45" s="5"/>
      <c r="E45" s="6"/>
      <c r="F45" s="5"/>
      <c r="G45" s="7"/>
      <c r="H45" s="7"/>
      <c r="I45" s="7"/>
      <c r="J45" s="8"/>
      <c r="K45" s="9"/>
      <c r="L45" s="10"/>
      <c r="M45" s="11"/>
      <c r="N45" s="11"/>
      <c r="O45" s="1"/>
      <c r="P45" s="8"/>
      <c r="Q45" s="12"/>
      <c r="R45" s="11"/>
      <c r="S45" s="1"/>
      <c r="T45" s="1"/>
      <c r="U45" s="1"/>
      <c r="V45" s="16"/>
    </row>
    <row r="46" spans="1:22" s="13" customFormat="1" ht="16.5" customHeight="1" x14ac:dyDescent="0.3">
      <c r="A46" s="2"/>
      <c r="B46" s="3"/>
      <c r="C46" s="4"/>
      <c r="D46" s="5"/>
      <c r="E46" s="6"/>
      <c r="F46" s="5"/>
      <c r="G46" s="7"/>
      <c r="H46" s="7"/>
      <c r="I46" s="7"/>
      <c r="J46" s="8"/>
      <c r="K46" s="9"/>
      <c r="L46" s="10"/>
      <c r="M46" s="11"/>
      <c r="N46" s="11"/>
      <c r="O46" s="1"/>
      <c r="P46" s="8"/>
      <c r="Q46" s="12"/>
      <c r="R46" s="11"/>
      <c r="S46" s="1"/>
      <c r="T46" s="1"/>
      <c r="U46" s="1"/>
      <c r="V46" s="16"/>
    </row>
    <row r="47" spans="1:22" s="13" customFormat="1" ht="16.5" customHeight="1" x14ac:dyDescent="0.3">
      <c r="A47" s="2"/>
      <c r="B47" s="3"/>
      <c r="C47" s="4"/>
      <c r="D47" s="5"/>
      <c r="E47" s="6"/>
      <c r="F47" s="5"/>
      <c r="G47" s="7"/>
      <c r="H47" s="7"/>
      <c r="I47" s="7"/>
      <c r="J47" s="8"/>
      <c r="K47" s="9"/>
      <c r="L47" s="10"/>
      <c r="M47" s="11"/>
      <c r="N47" s="11"/>
      <c r="O47" s="1"/>
      <c r="P47" s="8"/>
      <c r="Q47" s="12"/>
      <c r="R47" s="11"/>
      <c r="S47" s="1"/>
      <c r="T47" s="1"/>
      <c r="U47" s="1"/>
      <c r="V47" s="16"/>
    </row>
    <row r="48" spans="1:22" s="13" customFormat="1" ht="16.5" customHeight="1" x14ac:dyDescent="0.3">
      <c r="A48" s="2"/>
      <c r="B48" s="3"/>
      <c r="C48" s="4"/>
      <c r="D48" s="5"/>
      <c r="E48" s="6"/>
      <c r="F48" s="5"/>
      <c r="G48" s="7"/>
      <c r="H48" s="7"/>
      <c r="I48" s="7"/>
      <c r="J48" s="8"/>
      <c r="K48" s="9"/>
      <c r="L48" s="10"/>
      <c r="M48" s="11"/>
      <c r="N48" s="11"/>
      <c r="O48" s="1"/>
      <c r="P48" s="8"/>
      <c r="Q48" s="12"/>
      <c r="R48" s="11"/>
      <c r="S48" s="1"/>
      <c r="T48" s="1"/>
      <c r="U48" s="1"/>
      <c r="V48" s="16"/>
    </row>
    <row r="49" spans="1:22" s="13" customFormat="1" ht="16.5" customHeight="1" x14ac:dyDescent="0.3">
      <c r="A49" s="2"/>
      <c r="B49" s="3"/>
      <c r="C49" s="4"/>
      <c r="D49" s="5"/>
      <c r="E49" s="6"/>
      <c r="F49" s="5"/>
      <c r="G49" s="7"/>
      <c r="H49" s="7"/>
      <c r="I49" s="7"/>
      <c r="J49" s="8"/>
      <c r="K49" s="9"/>
      <c r="L49" s="10"/>
      <c r="M49" s="11"/>
      <c r="N49" s="11"/>
      <c r="O49" s="1"/>
      <c r="P49" s="8"/>
      <c r="Q49" s="12"/>
      <c r="R49" s="11"/>
      <c r="S49" s="1"/>
      <c r="T49" s="1"/>
      <c r="U49" s="1"/>
      <c r="V49" s="16"/>
    </row>
    <row r="50" spans="1:22" s="13" customFormat="1" ht="16.5" customHeight="1" x14ac:dyDescent="0.3">
      <c r="A50" s="2"/>
      <c r="B50" s="3"/>
      <c r="C50" s="4"/>
      <c r="D50" s="5"/>
      <c r="E50" s="6"/>
      <c r="F50" s="5"/>
      <c r="G50" s="7"/>
      <c r="H50" s="7"/>
      <c r="I50" s="7"/>
      <c r="J50" s="8"/>
      <c r="K50" s="9"/>
      <c r="L50" s="10"/>
      <c r="M50" s="11"/>
      <c r="N50" s="11"/>
      <c r="O50" s="1"/>
      <c r="P50" s="8"/>
      <c r="Q50" s="12"/>
      <c r="R50" s="11"/>
      <c r="S50" s="1"/>
      <c r="T50" s="1"/>
      <c r="U50" s="1"/>
      <c r="V50" s="16"/>
    </row>
    <row r="51" spans="1:22" s="13" customFormat="1" ht="16.5" customHeight="1" x14ac:dyDescent="0.3">
      <c r="A51" s="2"/>
      <c r="B51" s="3"/>
      <c r="C51" s="4"/>
      <c r="D51" s="5"/>
      <c r="E51" s="6"/>
      <c r="F51" s="5"/>
      <c r="G51" s="7"/>
      <c r="H51" s="7"/>
      <c r="I51" s="7"/>
      <c r="J51" s="8"/>
      <c r="K51" s="9"/>
      <c r="L51" s="10"/>
      <c r="M51" s="11"/>
      <c r="N51" s="11"/>
      <c r="O51" s="1"/>
      <c r="P51" s="8"/>
      <c r="Q51" s="12"/>
      <c r="R51" s="11"/>
      <c r="S51" s="1"/>
      <c r="T51" s="1"/>
      <c r="U51" s="1"/>
      <c r="V51" s="16"/>
    </row>
    <row r="52" spans="1:22" s="13" customFormat="1" ht="16.5" customHeight="1" x14ac:dyDescent="0.3">
      <c r="A52" s="2"/>
      <c r="B52" s="3"/>
      <c r="C52" s="4"/>
      <c r="D52" s="5"/>
      <c r="E52" s="6"/>
      <c r="F52" s="5"/>
      <c r="G52" s="7"/>
      <c r="H52" s="7"/>
      <c r="I52" s="7"/>
      <c r="J52" s="8"/>
      <c r="K52" s="9"/>
      <c r="L52" s="10"/>
      <c r="M52" s="11"/>
      <c r="N52" s="11"/>
      <c r="O52" s="1"/>
      <c r="P52" s="8"/>
      <c r="Q52" s="12"/>
      <c r="R52" s="11"/>
      <c r="S52" s="1"/>
      <c r="T52" s="1"/>
      <c r="U52" s="1"/>
      <c r="V52" s="16"/>
    </row>
    <row r="53" spans="1:22" s="13" customFormat="1" ht="16.5" customHeight="1" x14ac:dyDescent="0.3">
      <c r="A53" s="2"/>
      <c r="B53" s="3"/>
      <c r="C53" s="4"/>
      <c r="D53" s="5"/>
      <c r="E53" s="6"/>
      <c r="F53" s="5"/>
      <c r="G53" s="2"/>
      <c r="H53" s="2"/>
      <c r="I53" s="2"/>
      <c r="J53" s="8"/>
      <c r="K53" s="9"/>
      <c r="L53" s="10"/>
      <c r="M53" s="11"/>
      <c r="N53" s="11"/>
      <c r="O53" s="1"/>
      <c r="P53" s="8"/>
      <c r="Q53" s="12"/>
      <c r="R53" s="11"/>
      <c r="S53" s="1"/>
      <c r="T53" s="1"/>
      <c r="U53" s="1"/>
      <c r="V53" s="16"/>
    </row>
    <row r="54" spans="1:22" s="13" customFormat="1" ht="16.5" customHeight="1" x14ac:dyDescent="0.3">
      <c r="A54" s="2"/>
      <c r="B54" s="3"/>
      <c r="C54" s="4"/>
      <c r="D54" s="5"/>
      <c r="E54" s="6"/>
      <c r="F54" s="5"/>
      <c r="G54" s="7"/>
      <c r="H54" s="7"/>
      <c r="I54" s="7"/>
      <c r="J54" s="8"/>
      <c r="K54" s="9"/>
      <c r="L54" s="10"/>
      <c r="M54" s="11"/>
      <c r="N54" s="11"/>
      <c r="O54" s="1"/>
      <c r="P54" s="8"/>
      <c r="Q54" s="12"/>
      <c r="R54" s="11"/>
      <c r="S54" s="1"/>
      <c r="T54" s="1"/>
      <c r="U54" s="1"/>
      <c r="V54" s="16"/>
    </row>
    <row r="55" spans="1:22" s="13" customFormat="1" ht="16.5" customHeight="1" x14ac:dyDescent="0.3">
      <c r="A55" s="2"/>
      <c r="B55" s="3"/>
      <c r="C55" s="4"/>
      <c r="D55" s="5"/>
      <c r="E55" s="6"/>
      <c r="F55" s="5"/>
      <c r="G55" s="7"/>
      <c r="H55" s="7"/>
      <c r="I55" s="7"/>
      <c r="J55" s="8"/>
      <c r="K55" s="9"/>
      <c r="L55" s="10"/>
      <c r="M55" s="11"/>
      <c r="N55" s="11"/>
      <c r="O55" s="1"/>
      <c r="P55" s="8"/>
      <c r="Q55" s="12"/>
      <c r="R55" s="11"/>
      <c r="S55" s="1"/>
      <c r="T55" s="1"/>
      <c r="U55" s="1"/>
      <c r="V55" s="16"/>
    </row>
    <row r="56" spans="1:22" s="13" customFormat="1" ht="16.5" customHeight="1" x14ac:dyDescent="0.3">
      <c r="A56" s="2"/>
      <c r="B56" s="3"/>
      <c r="C56" s="4"/>
      <c r="D56" s="5"/>
      <c r="E56" s="6"/>
      <c r="F56" s="5"/>
      <c r="G56" s="7"/>
      <c r="H56" s="7"/>
      <c r="I56" s="7"/>
      <c r="J56" s="8"/>
      <c r="K56" s="9"/>
      <c r="L56" s="10"/>
      <c r="M56" s="11"/>
      <c r="N56" s="11"/>
      <c r="O56" s="1"/>
      <c r="P56" s="8"/>
      <c r="Q56" s="12"/>
      <c r="R56" s="11"/>
      <c r="S56" s="1"/>
      <c r="T56" s="1"/>
      <c r="U56" s="1"/>
      <c r="V56" s="16"/>
    </row>
    <row r="57" spans="1:22" s="13" customFormat="1" ht="16.5" customHeight="1" x14ac:dyDescent="0.3">
      <c r="A57" s="2"/>
      <c r="B57" s="3"/>
      <c r="C57" s="4"/>
      <c r="D57" s="5"/>
      <c r="E57" s="6"/>
      <c r="F57" s="5"/>
      <c r="G57" s="7"/>
      <c r="H57" s="7"/>
      <c r="I57" s="7"/>
      <c r="J57" s="8"/>
      <c r="K57" s="9"/>
      <c r="L57" s="10"/>
      <c r="M57" s="11"/>
      <c r="N57" s="11"/>
      <c r="O57" s="1"/>
      <c r="P57" s="8"/>
      <c r="Q57" s="12"/>
      <c r="R57" s="11"/>
      <c r="S57" s="1"/>
      <c r="T57" s="1"/>
      <c r="U57" s="1"/>
      <c r="V57" s="16"/>
    </row>
    <row r="58" spans="1:22" s="13" customFormat="1" ht="16.5" customHeight="1" x14ac:dyDescent="0.3">
      <c r="A58" s="2"/>
      <c r="B58" s="3"/>
      <c r="C58" s="4"/>
      <c r="D58" s="5"/>
      <c r="E58" s="6"/>
      <c r="F58" s="5"/>
      <c r="G58" s="7"/>
      <c r="H58" s="7"/>
      <c r="I58" s="7"/>
      <c r="J58" s="8"/>
      <c r="K58" s="9"/>
      <c r="L58" s="10"/>
      <c r="M58" s="11"/>
      <c r="N58" s="11"/>
      <c r="O58" s="1"/>
      <c r="P58" s="8"/>
      <c r="Q58" s="12"/>
      <c r="R58" s="11"/>
      <c r="S58" s="1"/>
      <c r="T58" s="1"/>
      <c r="U58" s="1"/>
      <c r="V58" s="16"/>
    </row>
    <row r="59" spans="1:22" s="13" customFormat="1" ht="16.5" customHeight="1" x14ac:dyDescent="0.3">
      <c r="A59" s="2"/>
      <c r="B59" s="3"/>
      <c r="C59" s="4"/>
      <c r="D59" s="5"/>
      <c r="E59" s="6"/>
      <c r="F59" s="5"/>
      <c r="G59" s="7"/>
      <c r="H59" s="7"/>
      <c r="I59" s="7"/>
      <c r="J59" s="8"/>
      <c r="K59" s="9"/>
      <c r="L59" s="10"/>
      <c r="M59" s="11"/>
      <c r="N59" s="11"/>
      <c r="O59" s="1"/>
      <c r="P59" s="8"/>
      <c r="Q59" s="12"/>
      <c r="R59" s="11"/>
      <c r="S59" s="1"/>
      <c r="T59" s="1"/>
      <c r="U59" s="1"/>
      <c r="V59" s="16"/>
    </row>
    <row r="60" spans="1:22" s="13" customFormat="1" ht="16.5" customHeight="1" x14ac:dyDescent="0.3">
      <c r="A60" s="2"/>
      <c r="B60" s="3"/>
      <c r="C60" s="4"/>
      <c r="D60" s="5"/>
      <c r="E60" s="6"/>
      <c r="F60" s="5"/>
      <c r="G60" s="7"/>
      <c r="H60" s="7"/>
      <c r="I60" s="7"/>
      <c r="J60" s="8"/>
      <c r="K60" s="9"/>
      <c r="L60" s="10"/>
      <c r="M60" s="11"/>
      <c r="N60" s="11"/>
      <c r="O60" s="1"/>
      <c r="P60" s="8"/>
      <c r="Q60" s="12"/>
      <c r="R60" s="11"/>
      <c r="S60" s="1"/>
      <c r="T60" s="1"/>
      <c r="U60" s="1"/>
      <c r="V60" s="16"/>
    </row>
    <row r="61" spans="1:22" s="13" customFormat="1" ht="16.5" customHeight="1" x14ac:dyDescent="0.3">
      <c r="A61" s="2"/>
      <c r="B61" s="3"/>
      <c r="C61" s="4"/>
      <c r="D61" s="5"/>
      <c r="E61" s="6"/>
      <c r="F61" s="5"/>
      <c r="G61" s="7"/>
      <c r="H61" s="7"/>
      <c r="I61" s="7"/>
      <c r="J61" s="8"/>
      <c r="K61" s="9"/>
      <c r="L61" s="10"/>
      <c r="M61" s="11"/>
      <c r="N61" s="11"/>
      <c r="O61" s="1"/>
      <c r="P61" s="8"/>
      <c r="Q61" s="12"/>
      <c r="R61" s="11"/>
      <c r="S61" s="1"/>
      <c r="T61" s="1"/>
      <c r="U61" s="1"/>
      <c r="V61" s="16"/>
    </row>
    <row r="62" spans="1:22" s="13" customFormat="1" ht="16.5" customHeight="1" x14ac:dyDescent="0.3">
      <c r="A62" s="2"/>
      <c r="B62" s="3"/>
      <c r="C62" s="4"/>
      <c r="D62" s="5"/>
      <c r="E62" s="6"/>
      <c r="F62" s="5"/>
      <c r="G62" s="7"/>
      <c r="H62" s="7"/>
      <c r="I62" s="7"/>
      <c r="J62" s="8"/>
      <c r="K62" s="9"/>
      <c r="L62" s="10"/>
      <c r="M62" s="11"/>
      <c r="N62" s="11"/>
      <c r="O62" s="1"/>
      <c r="P62" s="8"/>
      <c r="Q62" s="12"/>
      <c r="R62" s="11"/>
      <c r="S62" s="1"/>
      <c r="T62" s="1"/>
      <c r="U62" s="1"/>
      <c r="V62" s="16"/>
    </row>
    <row r="63" spans="1:22" s="13" customFormat="1" ht="16.5" customHeight="1" x14ac:dyDescent="0.3">
      <c r="A63" s="2"/>
      <c r="B63" s="3"/>
      <c r="C63" s="4"/>
      <c r="D63" s="5"/>
      <c r="E63" s="6"/>
      <c r="F63" s="5"/>
      <c r="G63" s="7"/>
      <c r="H63" s="7"/>
      <c r="I63" s="7"/>
      <c r="J63" s="8"/>
      <c r="K63" s="9"/>
      <c r="L63" s="10"/>
      <c r="M63" s="11"/>
      <c r="N63" s="11"/>
      <c r="O63" s="1"/>
      <c r="P63" s="8"/>
      <c r="Q63" s="12"/>
      <c r="R63" s="11"/>
      <c r="S63" s="1"/>
      <c r="T63" s="1"/>
      <c r="U63" s="1"/>
      <c r="V63" s="16"/>
    </row>
    <row r="64" spans="1:22" s="13" customFormat="1" ht="16.5" customHeight="1" x14ac:dyDescent="0.3">
      <c r="A64" s="2"/>
      <c r="B64" s="3"/>
      <c r="C64" s="4"/>
      <c r="D64" s="5"/>
      <c r="E64" s="6"/>
      <c r="F64" s="5"/>
      <c r="G64" s="7"/>
      <c r="H64" s="7"/>
      <c r="I64" s="7"/>
      <c r="J64" s="8"/>
      <c r="K64" s="9"/>
      <c r="L64" s="10"/>
      <c r="M64" s="11"/>
      <c r="N64" s="11"/>
      <c r="O64" s="1"/>
      <c r="P64" s="8"/>
      <c r="Q64" s="12"/>
      <c r="R64" s="11"/>
      <c r="S64" s="1"/>
      <c r="T64" s="1"/>
      <c r="U64" s="1"/>
      <c r="V64" s="16"/>
    </row>
    <row r="65" spans="1:22" s="13" customFormat="1" ht="16.5" customHeight="1" x14ac:dyDescent="0.3">
      <c r="A65" s="2"/>
      <c r="B65" s="3"/>
      <c r="C65" s="4"/>
      <c r="D65" s="5"/>
      <c r="E65" s="6"/>
      <c r="F65" s="5"/>
      <c r="G65" s="7"/>
      <c r="H65" s="7"/>
      <c r="I65" s="7"/>
      <c r="J65" s="8"/>
      <c r="K65" s="9"/>
      <c r="L65" s="10"/>
      <c r="M65" s="11"/>
      <c r="N65" s="11"/>
      <c r="O65" s="1"/>
      <c r="P65" s="8"/>
      <c r="Q65" s="12"/>
      <c r="R65" s="11"/>
      <c r="S65" s="1"/>
      <c r="T65" s="1"/>
      <c r="U65" s="1"/>
      <c r="V65" s="16"/>
    </row>
    <row r="66" spans="1:22" s="13" customFormat="1" ht="16.5" customHeight="1" x14ac:dyDescent="0.3">
      <c r="A66" s="2"/>
      <c r="B66" s="3"/>
      <c r="C66" s="4"/>
      <c r="D66" s="5"/>
      <c r="E66" s="6"/>
      <c r="F66" s="5"/>
      <c r="G66" s="7"/>
      <c r="H66" s="7"/>
      <c r="I66" s="7"/>
      <c r="J66" s="8"/>
      <c r="K66" s="9"/>
      <c r="L66" s="10"/>
      <c r="M66" s="11"/>
      <c r="N66" s="11"/>
      <c r="O66" s="1"/>
      <c r="P66" s="8"/>
      <c r="Q66" s="12"/>
      <c r="R66" s="11"/>
      <c r="S66" s="1"/>
      <c r="T66" s="1"/>
      <c r="U66" s="1"/>
      <c r="V66" s="16"/>
    </row>
    <row r="67" spans="1:22" s="13" customFormat="1" ht="16.5" customHeight="1" x14ac:dyDescent="0.3">
      <c r="A67" s="2"/>
      <c r="B67" s="3"/>
      <c r="C67" s="4"/>
      <c r="D67" s="5"/>
      <c r="E67" s="6"/>
      <c r="F67" s="5"/>
      <c r="G67" s="7"/>
      <c r="H67" s="7"/>
      <c r="I67" s="7"/>
      <c r="J67" s="8"/>
      <c r="K67" s="9"/>
      <c r="L67" s="10"/>
      <c r="M67" s="11"/>
      <c r="N67" s="11"/>
      <c r="O67" s="1"/>
      <c r="P67" s="8"/>
      <c r="Q67" s="12"/>
      <c r="R67" s="11"/>
      <c r="S67" s="1"/>
      <c r="T67" s="1"/>
      <c r="U67" s="1"/>
      <c r="V67" s="16"/>
    </row>
    <row r="68" spans="1:22" s="13" customFormat="1" ht="16.5" customHeight="1" x14ac:dyDescent="0.3">
      <c r="A68" s="2"/>
      <c r="B68" s="3"/>
      <c r="C68" s="4"/>
      <c r="D68" s="5"/>
      <c r="E68" s="6"/>
      <c r="F68" s="5"/>
      <c r="G68" s="7"/>
      <c r="H68" s="7"/>
      <c r="I68" s="7"/>
      <c r="J68" s="8"/>
      <c r="K68" s="9"/>
      <c r="L68" s="10"/>
      <c r="M68" s="11"/>
      <c r="N68" s="11"/>
      <c r="O68" s="1"/>
      <c r="P68" s="8"/>
      <c r="Q68" s="12"/>
      <c r="R68" s="11"/>
      <c r="S68" s="1"/>
      <c r="T68" s="1"/>
      <c r="U68" s="1"/>
      <c r="V68" s="16"/>
    </row>
    <row r="69" spans="1:22" s="13" customFormat="1" ht="16.5" customHeight="1" x14ac:dyDescent="0.3">
      <c r="A69" s="2"/>
      <c r="B69" s="3"/>
      <c r="C69" s="4"/>
      <c r="D69" s="5"/>
      <c r="E69" s="6"/>
      <c r="F69" s="5"/>
      <c r="G69" s="7"/>
      <c r="H69" s="7"/>
      <c r="I69" s="7"/>
      <c r="J69" s="8"/>
      <c r="K69" s="9"/>
      <c r="L69" s="10"/>
      <c r="M69" s="11"/>
      <c r="N69" s="11"/>
      <c r="O69" s="1"/>
      <c r="P69" s="8"/>
      <c r="Q69" s="12"/>
      <c r="R69" s="11"/>
      <c r="S69" s="1"/>
      <c r="T69" s="1"/>
      <c r="U69" s="1"/>
      <c r="V69" s="16"/>
    </row>
    <row r="70" spans="1:22" s="13" customFormat="1" ht="16.5" customHeight="1" x14ac:dyDescent="0.3">
      <c r="A70" s="2"/>
      <c r="B70" s="3"/>
      <c r="C70" s="4"/>
      <c r="D70" s="5"/>
      <c r="E70" s="6"/>
      <c r="F70" s="5"/>
      <c r="G70" s="7"/>
      <c r="H70" s="7"/>
      <c r="I70" s="7"/>
      <c r="J70" s="8"/>
      <c r="K70" s="9"/>
      <c r="L70" s="10"/>
      <c r="M70" s="11"/>
      <c r="N70" s="11"/>
      <c r="O70" s="1"/>
      <c r="P70" s="8"/>
      <c r="Q70" s="12"/>
      <c r="R70" s="11"/>
      <c r="S70" s="1"/>
      <c r="T70" s="1"/>
      <c r="U70" s="1"/>
      <c r="V70" s="16"/>
    </row>
    <row r="71" spans="1:22" s="13" customFormat="1" ht="16.5" customHeight="1" x14ac:dyDescent="0.3">
      <c r="A71" s="2"/>
      <c r="B71" s="3"/>
      <c r="C71" s="4"/>
      <c r="D71" s="5"/>
      <c r="E71" s="6"/>
      <c r="F71" s="5"/>
      <c r="G71" s="2"/>
      <c r="H71" s="2"/>
      <c r="I71" s="2"/>
      <c r="J71" s="8"/>
      <c r="K71" s="9"/>
      <c r="L71" s="10"/>
      <c r="M71" s="11"/>
      <c r="N71" s="11"/>
      <c r="O71" s="1"/>
      <c r="P71" s="8"/>
      <c r="Q71" s="12"/>
      <c r="R71" s="11"/>
      <c r="S71" s="1"/>
      <c r="T71" s="1"/>
      <c r="U71" s="1"/>
      <c r="V71" s="16"/>
    </row>
    <row r="72" spans="1:22" s="13" customFormat="1" ht="16.5" customHeight="1" x14ac:dyDescent="0.3">
      <c r="A72" s="2"/>
      <c r="B72" s="3"/>
      <c r="C72" s="4"/>
      <c r="D72" s="5"/>
      <c r="E72" s="6"/>
      <c r="F72" s="5"/>
      <c r="G72" s="2"/>
      <c r="H72" s="2"/>
      <c r="I72" s="2"/>
      <c r="J72" s="8"/>
      <c r="K72" s="9"/>
      <c r="L72" s="10"/>
      <c r="M72" s="11"/>
      <c r="N72" s="11"/>
      <c r="O72" s="1"/>
      <c r="P72" s="8"/>
      <c r="Q72" s="12"/>
      <c r="R72" s="11"/>
      <c r="S72" s="1"/>
      <c r="T72" s="1"/>
      <c r="U72" s="1"/>
      <c r="V72" s="16"/>
    </row>
    <row r="73" spans="1:22" s="13" customFormat="1" ht="16.5" customHeight="1" x14ac:dyDescent="0.3">
      <c r="A73" s="2"/>
      <c r="B73" s="3"/>
      <c r="C73" s="4"/>
      <c r="D73" s="5"/>
      <c r="E73" s="6"/>
      <c r="F73" s="5"/>
      <c r="G73" s="7"/>
      <c r="H73" s="7"/>
      <c r="I73" s="7"/>
      <c r="J73" s="8"/>
      <c r="K73" s="9"/>
      <c r="L73" s="10"/>
      <c r="M73" s="11"/>
      <c r="N73" s="11"/>
      <c r="O73" s="1"/>
      <c r="P73" s="8"/>
      <c r="Q73" s="12"/>
      <c r="R73" s="11"/>
      <c r="S73" s="1"/>
      <c r="T73" s="1"/>
      <c r="U73" s="1"/>
      <c r="V73" s="16"/>
    </row>
    <row r="74" spans="1:22" s="13" customFormat="1" ht="16.5" customHeight="1" x14ac:dyDescent="0.3">
      <c r="A74" s="2"/>
      <c r="B74" s="3"/>
      <c r="C74" s="4"/>
      <c r="D74" s="5"/>
      <c r="E74" s="6"/>
      <c r="F74" s="5"/>
      <c r="G74" s="7"/>
      <c r="H74" s="7"/>
      <c r="I74" s="7"/>
      <c r="J74" s="8"/>
      <c r="K74" s="9"/>
      <c r="L74" s="10"/>
      <c r="M74" s="11"/>
      <c r="N74" s="11"/>
      <c r="O74" s="1"/>
      <c r="P74" s="8"/>
      <c r="Q74" s="12"/>
      <c r="R74" s="11"/>
      <c r="S74" s="1"/>
      <c r="T74" s="1"/>
      <c r="U74" s="1"/>
      <c r="V74" s="16"/>
    </row>
    <row r="75" spans="1:22" s="13" customFormat="1" ht="16.5" customHeight="1" x14ac:dyDescent="0.3">
      <c r="A75" s="2"/>
      <c r="B75" s="3"/>
      <c r="C75" s="4"/>
      <c r="D75" s="5"/>
      <c r="E75" s="6"/>
      <c r="F75" s="5"/>
      <c r="G75" s="7"/>
      <c r="H75" s="7"/>
      <c r="I75" s="7"/>
      <c r="J75" s="8"/>
      <c r="K75" s="9"/>
      <c r="L75" s="10"/>
      <c r="M75" s="11"/>
      <c r="N75" s="11"/>
      <c r="O75" s="1"/>
      <c r="P75" s="8"/>
      <c r="Q75" s="12"/>
      <c r="R75" s="11"/>
      <c r="S75" s="1"/>
      <c r="T75" s="1"/>
      <c r="U75" s="1"/>
      <c r="V75" s="16"/>
    </row>
    <row r="76" spans="1:22" s="13" customFormat="1" ht="16.5" customHeight="1" x14ac:dyDescent="0.3">
      <c r="A76" s="2"/>
      <c r="B76" s="3"/>
      <c r="C76" s="4"/>
      <c r="D76" s="5"/>
      <c r="E76" s="6"/>
      <c r="F76" s="5"/>
      <c r="G76" s="7"/>
      <c r="H76" s="7"/>
      <c r="I76" s="7"/>
      <c r="J76" s="8"/>
      <c r="K76" s="9"/>
      <c r="L76" s="10"/>
      <c r="M76" s="11"/>
      <c r="N76" s="11"/>
      <c r="O76" s="1"/>
      <c r="P76" s="8"/>
      <c r="Q76" s="12"/>
      <c r="R76" s="11"/>
      <c r="S76" s="1"/>
      <c r="T76" s="1"/>
      <c r="U76" s="1"/>
      <c r="V76" s="16"/>
    </row>
    <row r="77" spans="1:22" s="13" customFormat="1" ht="16.5" customHeight="1" x14ac:dyDescent="0.3">
      <c r="A77" s="2"/>
      <c r="B77" s="3"/>
      <c r="C77" s="4"/>
      <c r="D77" s="5"/>
      <c r="E77" s="6"/>
      <c r="F77" s="5"/>
      <c r="G77" s="7"/>
      <c r="H77" s="7"/>
      <c r="I77" s="7"/>
      <c r="J77" s="8"/>
      <c r="K77" s="9"/>
      <c r="L77" s="10"/>
      <c r="M77" s="11"/>
      <c r="N77" s="11"/>
      <c r="O77" s="1"/>
      <c r="P77" s="8"/>
      <c r="Q77" s="12"/>
      <c r="R77" s="11"/>
      <c r="S77" s="1"/>
      <c r="T77" s="1"/>
      <c r="U77" s="1"/>
      <c r="V77" s="16"/>
    </row>
    <row r="78" spans="1:22" s="13" customFormat="1" ht="16.5" customHeight="1" x14ac:dyDescent="0.3">
      <c r="A78" s="2"/>
      <c r="B78" s="3"/>
      <c r="C78" s="4"/>
      <c r="D78" s="5"/>
      <c r="E78" s="6"/>
      <c r="F78" s="5"/>
      <c r="G78" s="7"/>
      <c r="H78" s="7"/>
      <c r="I78" s="7"/>
      <c r="J78" s="8"/>
      <c r="K78" s="9"/>
      <c r="L78" s="10"/>
      <c r="M78" s="11"/>
      <c r="N78" s="11"/>
      <c r="O78" s="1"/>
      <c r="P78" s="8"/>
      <c r="Q78" s="12"/>
      <c r="R78" s="11"/>
      <c r="S78" s="1"/>
      <c r="T78" s="1"/>
      <c r="U78" s="1"/>
      <c r="V78" s="16"/>
    </row>
    <row r="79" spans="1:22" s="13" customFormat="1" ht="16.5" customHeight="1" x14ac:dyDescent="0.3">
      <c r="A79" s="2"/>
      <c r="B79" s="3"/>
      <c r="C79" s="4"/>
      <c r="D79" s="5"/>
      <c r="E79" s="6"/>
      <c r="F79" s="5"/>
      <c r="G79" s="7"/>
      <c r="H79" s="7"/>
      <c r="I79" s="7"/>
      <c r="J79" s="8"/>
      <c r="K79" s="9"/>
      <c r="L79" s="10"/>
      <c r="M79" s="11"/>
      <c r="N79" s="11"/>
      <c r="O79" s="1"/>
      <c r="P79" s="8"/>
      <c r="Q79" s="12"/>
      <c r="R79" s="11"/>
      <c r="S79" s="1"/>
      <c r="T79" s="1"/>
      <c r="U79" s="1"/>
      <c r="V79" s="16"/>
    </row>
    <row r="80" spans="1:22" s="13" customFormat="1" ht="16.5" customHeight="1" x14ac:dyDescent="0.3">
      <c r="A80" s="2"/>
      <c r="B80" s="3"/>
      <c r="C80" s="4"/>
      <c r="D80" s="5"/>
      <c r="E80" s="6"/>
      <c r="F80" s="5"/>
      <c r="G80" s="7"/>
      <c r="H80" s="7"/>
      <c r="I80" s="7"/>
      <c r="J80" s="8"/>
      <c r="K80" s="9"/>
      <c r="L80" s="10"/>
      <c r="M80" s="11"/>
      <c r="N80" s="11"/>
      <c r="O80" s="1"/>
      <c r="P80" s="8"/>
      <c r="Q80" s="12"/>
      <c r="R80" s="11"/>
      <c r="S80" s="1"/>
      <c r="T80" s="1"/>
      <c r="U80" s="1"/>
      <c r="V80" s="16"/>
    </row>
    <row r="81" spans="1:22" s="13" customFormat="1" ht="16.5" customHeight="1" x14ac:dyDescent="0.3">
      <c r="A81" s="2"/>
      <c r="B81" s="3"/>
      <c r="C81" s="4"/>
      <c r="D81" s="5"/>
      <c r="E81" s="6"/>
      <c r="F81" s="5"/>
      <c r="G81" s="7"/>
      <c r="H81" s="7"/>
      <c r="I81" s="7"/>
      <c r="J81" s="8"/>
      <c r="K81" s="9"/>
      <c r="L81" s="10"/>
      <c r="M81" s="11"/>
      <c r="N81" s="11"/>
      <c r="O81" s="1"/>
      <c r="P81" s="8"/>
      <c r="Q81" s="12"/>
      <c r="R81" s="11"/>
      <c r="S81" s="1"/>
      <c r="T81" s="1"/>
      <c r="U81" s="1"/>
      <c r="V81" s="16"/>
    </row>
    <row r="82" spans="1:22" s="13" customFormat="1" ht="16.5" customHeight="1" x14ac:dyDescent="0.3">
      <c r="A82" s="2"/>
      <c r="B82" s="3"/>
      <c r="C82" s="4"/>
      <c r="D82" s="5"/>
      <c r="E82" s="6"/>
      <c r="F82" s="5"/>
      <c r="G82" s="7"/>
      <c r="H82" s="7"/>
      <c r="I82" s="7"/>
      <c r="J82" s="8"/>
      <c r="K82" s="9"/>
      <c r="L82" s="10"/>
      <c r="M82" s="11"/>
      <c r="N82" s="11"/>
      <c r="O82" s="1"/>
      <c r="P82" s="8"/>
      <c r="Q82" s="12"/>
      <c r="R82" s="11"/>
      <c r="S82" s="1"/>
      <c r="T82" s="1"/>
      <c r="U82" s="1"/>
      <c r="V82" s="16"/>
    </row>
    <row r="83" spans="1:22" s="13" customFormat="1" ht="16.5" customHeight="1" x14ac:dyDescent="0.3">
      <c r="A83" s="2"/>
      <c r="B83" s="3"/>
      <c r="C83" s="4"/>
      <c r="D83" s="5"/>
      <c r="E83" s="6"/>
      <c r="F83" s="5"/>
      <c r="G83" s="7"/>
      <c r="H83" s="7"/>
      <c r="I83" s="7"/>
      <c r="J83" s="8"/>
      <c r="K83" s="9"/>
      <c r="L83" s="10"/>
      <c r="M83" s="11"/>
      <c r="N83" s="11"/>
      <c r="O83" s="1"/>
      <c r="P83" s="8"/>
      <c r="Q83" s="12"/>
      <c r="R83" s="11"/>
      <c r="S83" s="1"/>
      <c r="T83" s="1"/>
      <c r="U83" s="1"/>
      <c r="V83" s="16"/>
    </row>
  </sheetData>
  <sortState ref="A2:S29">
    <sortCondition ref="Q2:Q29"/>
  </sortState>
  <mergeCells count="2">
    <mergeCell ref="O1:R1"/>
    <mergeCell ref="A31:V31"/>
  </mergeCells>
  <conditionalFormatting sqref="L2:L2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:V2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H18"/>
  <sheetViews>
    <sheetView tabSelected="1" zoomScaleNormal="100" workbookViewId="0">
      <selection activeCell="B25" sqref="B25"/>
    </sheetView>
  </sheetViews>
  <sheetFormatPr defaultRowHeight="14.4" x14ac:dyDescent="0.3"/>
  <cols>
    <col min="1" max="1" width="23.77734375" style="53" customWidth="1"/>
    <col min="2" max="2" width="24.88671875" style="74" customWidth="1"/>
    <col min="3" max="3" width="8.77734375" style="52" customWidth="1"/>
    <col min="4" max="4" width="8.77734375" style="53" customWidth="1"/>
    <col min="5" max="5" width="11.77734375" style="76" customWidth="1"/>
    <col min="6" max="6" width="15.6640625" style="76" customWidth="1"/>
    <col min="7" max="7" width="13.6640625" style="76" customWidth="1"/>
    <col min="8" max="8" width="16" style="76" customWidth="1"/>
    <col min="9" max="16384" width="8.88671875" style="53"/>
  </cols>
  <sheetData>
    <row r="2" spans="1:8" ht="25.05" customHeight="1" x14ac:dyDescent="0.3">
      <c r="A2" s="50" t="s">
        <v>51</v>
      </c>
      <c r="B2" s="51" t="s">
        <v>13</v>
      </c>
      <c r="E2" s="156" t="s">
        <v>93</v>
      </c>
      <c r="F2" s="157"/>
      <c r="G2" s="157"/>
      <c r="H2" s="158"/>
    </row>
    <row r="3" spans="1:8" ht="25.05" customHeight="1" x14ac:dyDescent="0.3">
      <c r="A3" s="54"/>
      <c r="B3" s="55"/>
      <c r="E3" s="56" t="s">
        <v>39</v>
      </c>
      <c r="F3" s="57">
        <f>VLOOKUP(B2,'Data Feed'!A:I,4,FALSE)</f>
        <v>0.85479000000000005</v>
      </c>
      <c r="G3" s="58" t="s">
        <v>4</v>
      </c>
      <c r="H3" s="59">
        <f>VLOOKUP(B2,'Data Feed'!A:I,9,FALSE)</f>
        <v>0.85721000000000003</v>
      </c>
    </row>
    <row r="4" spans="1:8" ht="25.05" customHeight="1" x14ac:dyDescent="0.3">
      <c r="A4" s="50" t="s">
        <v>80</v>
      </c>
      <c r="B4" s="60">
        <v>0.01</v>
      </c>
      <c r="E4" s="56" t="s">
        <v>38</v>
      </c>
      <c r="F4" s="57">
        <f>VLOOKUP(B2,'Data Feed'!A:I,3,FALSE)</f>
        <v>0.85472000000000004</v>
      </c>
      <c r="G4" s="58" t="s">
        <v>5</v>
      </c>
      <c r="H4" s="59">
        <f>VLOOKUP(B2,'Data Feed'!A:I,8,FALSE)</f>
        <v>0.85202</v>
      </c>
    </row>
    <row r="5" spans="1:8" ht="25.05" customHeight="1" x14ac:dyDescent="0.3">
      <c r="A5" s="54"/>
      <c r="B5" s="55"/>
      <c r="E5" s="56" t="s">
        <v>41</v>
      </c>
      <c r="F5" s="61">
        <f>VLOOKUP(B2,'Data Feed'!A:I,5,FALSE)</f>
        <v>0.70000000000014495</v>
      </c>
      <c r="G5" s="58" t="s">
        <v>92</v>
      </c>
      <c r="H5" s="59">
        <f>VLOOKUP(B2,'Data Feed'!A:I,7,FALSE)</f>
        <v>0.85475500000000004</v>
      </c>
    </row>
    <row r="6" spans="1:8" ht="25.05" customHeight="1" x14ac:dyDescent="0.3">
      <c r="A6" s="50" t="s">
        <v>40</v>
      </c>
      <c r="B6" s="62">
        <v>0.05</v>
      </c>
      <c r="E6" s="63"/>
      <c r="F6" s="63"/>
      <c r="G6" s="63"/>
      <c r="H6" s="63"/>
    </row>
    <row r="7" spans="1:8" ht="25.05" customHeight="1" x14ac:dyDescent="0.3">
      <c r="A7" s="54"/>
      <c r="B7" s="64"/>
      <c r="E7" s="153" t="s">
        <v>78</v>
      </c>
      <c r="F7" s="154"/>
      <c r="G7" s="154"/>
      <c r="H7" s="155"/>
    </row>
    <row r="8" spans="1:8" ht="25.05" customHeight="1" x14ac:dyDescent="0.3">
      <c r="A8" s="50" t="s">
        <v>77</v>
      </c>
      <c r="B8" s="65">
        <f>H18</f>
        <v>31.184000000000001</v>
      </c>
      <c r="C8" s="74"/>
      <c r="E8" s="66" t="s">
        <v>65</v>
      </c>
      <c r="F8" s="66" t="s">
        <v>66</v>
      </c>
      <c r="G8" s="66" t="s">
        <v>40</v>
      </c>
      <c r="H8" s="66" t="s">
        <v>67</v>
      </c>
    </row>
    <row r="9" spans="1:8" ht="25.05" customHeight="1" x14ac:dyDescent="0.3">
      <c r="A9" s="54"/>
      <c r="B9" s="67"/>
      <c r="E9" s="68">
        <f>B4</f>
        <v>0.01</v>
      </c>
      <c r="F9" s="66">
        <v>100000</v>
      </c>
      <c r="G9" s="69">
        <f>B6</f>
        <v>0.05</v>
      </c>
      <c r="H9" s="68">
        <f>(E9*F9)*G9</f>
        <v>50</v>
      </c>
    </row>
    <row r="10" spans="1:8" ht="25.05" customHeight="1" x14ac:dyDescent="0.3">
      <c r="A10" s="50" t="s">
        <v>61</v>
      </c>
      <c r="B10" s="65">
        <f>VLOOKUP(B2,'Pip Values'!A:L,12,FALSE)</f>
        <v>7.2966603185721892</v>
      </c>
      <c r="E10" s="66"/>
      <c r="F10" s="66"/>
      <c r="G10" s="66"/>
      <c r="H10" s="66"/>
    </row>
    <row r="11" spans="1:8" ht="25.05" customHeight="1" x14ac:dyDescent="0.3">
      <c r="B11" s="70"/>
      <c r="C11" s="71"/>
      <c r="E11" s="66" t="s">
        <v>68</v>
      </c>
      <c r="F11" s="66" t="s">
        <v>75</v>
      </c>
      <c r="G11" s="66" t="s">
        <v>76</v>
      </c>
      <c r="H11" s="66" t="s">
        <v>69</v>
      </c>
    </row>
    <row r="12" spans="1:8" ht="25.05" customHeight="1" x14ac:dyDescent="0.3">
      <c r="A12" s="152" t="s">
        <v>88</v>
      </c>
      <c r="B12" s="152"/>
      <c r="E12" s="66" t="str">
        <f>B2</f>
        <v>NZDCAD</v>
      </c>
      <c r="F12" s="66" t="str">
        <f>LEFT(E12,3)</f>
        <v>NZD</v>
      </c>
      <c r="G12" s="66" t="str">
        <f>RIGHT(E12,3)</f>
        <v>CAD</v>
      </c>
      <c r="H12" s="72">
        <f>F3</f>
        <v>0.85479000000000005</v>
      </c>
    </row>
    <row r="13" spans="1:8" ht="25.05" customHeight="1" x14ac:dyDescent="0.3">
      <c r="B13" s="73"/>
      <c r="C13" s="71"/>
      <c r="E13" s="66"/>
      <c r="F13" s="66"/>
      <c r="G13" s="66"/>
      <c r="H13" s="66"/>
    </row>
    <row r="14" spans="1:8" ht="25.05" customHeight="1" x14ac:dyDescent="0.3">
      <c r="E14" s="66" t="s">
        <v>56</v>
      </c>
      <c r="F14" s="66" t="s">
        <v>70</v>
      </c>
      <c r="G14" s="66" t="s">
        <v>71</v>
      </c>
      <c r="H14" s="66"/>
    </row>
    <row r="15" spans="1:8" ht="25.05" customHeight="1" x14ac:dyDescent="0.3">
      <c r="E15" s="66" t="b">
        <f>ISNUMBER(SEARCH("USD",E12))</f>
        <v>0</v>
      </c>
      <c r="F15" s="66" t="str">
        <f>IF(F12="USD","TRUE","FALSE")</f>
        <v>FALSE</v>
      </c>
      <c r="G15" s="66" t="str">
        <f>IF(G12="USD","TRUE","FALSE")</f>
        <v>FALSE</v>
      </c>
      <c r="H15" s="66"/>
    </row>
    <row r="16" spans="1:8" ht="25.05" customHeight="1" x14ac:dyDescent="0.3">
      <c r="E16" s="66"/>
      <c r="F16" s="66"/>
      <c r="G16" s="66"/>
      <c r="H16" s="66"/>
    </row>
    <row r="17" spans="5:8" ht="25.05" customHeight="1" x14ac:dyDescent="0.3">
      <c r="E17" s="66" t="s">
        <v>72</v>
      </c>
      <c r="F17" s="66" t="s">
        <v>73</v>
      </c>
      <c r="G17" s="66" t="s">
        <v>74</v>
      </c>
      <c r="H17" s="66" t="s">
        <v>79</v>
      </c>
    </row>
    <row r="18" spans="5:8" ht="25.05" customHeight="1" x14ac:dyDescent="0.3">
      <c r="E18" s="66" t="str">
        <f>IF(E15=FALSE,CONCATENATE(F12&amp;"USD"),E12)</f>
        <v>NZDUSD</v>
      </c>
      <c r="F18" s="66" t="str">
        <f>IFERROR(IFERROR(VLOOKUP(E18,'Data Feed'!$A$3:$E$30,1,FALSE),VLOOKUP(CONCATENATE("USD"&amp;F12),'Data Feed'!$A$3:$E$30,1,FALSE)),"")</f>
        <v>NZDUSD</v>
      </c>
      <c r="G18" s="66">
        <f>IFERROR(VLOOKUP(F18,'Data Feed'!$A$3:$E$30,4,FALSE),"ERROR")</f>
        <v>0.62368000000000001</v>
      </c>
      <c r="H18" s="75">
        <f>IFERROR(IF(F15="True",H9,H9*G18),"")</f>
        <v>31.184000000000001</v>
      </c>
    </row>
  </sheetData>
  <mergeCells count="3">
    <mergeCell ref="A12:B12"/>
    <mergeCell ref="E7:H7"/>
    <mergeCell ref="E2:H2"/>
  </mergeCells>
  <pageMargins left="0.7" right="0.7" top="0.75" bottom="0.75" header="0.3" footer="0.3"/>
  <pageSetup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Not a valid symbol" promptTitle="Symbol" prompt="Choose the currency pair from the dropdown list">
          <x14:formula1>
            <xm:f>'DDE Live Data'!$A$2:$A$29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workbookViewId="0">
      <selection activeCell="L15" sqref="L15"/>
    </sheetView>
  </sheetViews>
  <sheetFormatPr defaultColWidth="9.109375" defaultRowHeight="16.5" customHeight="1" x14ac:dyDescent="0.3"/>
  <cols>
    <col min="1" max="1" width="17.33203125" style="144" customWidth="1"/>
    <col min="2" max="2" width="16.6640625" style="36" customWidth="1"/>
    <col min="3" max="3" width="11.5546875" style="36" customWidth="1"/>
    <col min="4" max="4" width="12.21875" style="36" customWidth="1"/>
    <col min="5" max="5" width="13.5546875" style="37" customWidth="1"/>
    <col min="6" max="6" width="12" style="43" customWidth="1"/>
    <col min="7" max="7" width="11.21875" style="43" customWidth="1"/>
    <col min="8" max="8" width="11.77734375" customWidth="1"/>
    <col min="9" max="9" width="15.21875" style="36" customWidth="1"/>
    <col min="10" max="10" width="15.21875" style="39" customWidth="1"/>
    <col min="11" max="11" width="8.5546875" style="36" customWidth="1"/>
    <col min="12" max="12" width="41.88671875" style="36" bestFit="1" customWidth="1"/>
    <col min="13" max="13" width="10.5546875" style="36" customWidth="1"/>
    <col min="14" max="16384" width="9.109375" style="36"/>
  </cols>
  <sheetData>
    <row r="1" spans="1:13" ht="16.5" customHeight="1" x14ac:dyDescent="0.3">
      <c r="A1" s="40" t="s">
        <v>89</v>
      </c>
      <c r="B1" s="49" t="s">
        <v>37</v>
      </c>
      <c r="C1" s="49" t="s">
        <v>5</v>
      </c>
      <c r="D1" s="49" t="s">
        <v>4</v>
      </c>
      <c r="E1" s="41" t="s">
        <v>90</v>
      </c>
      <c r="F1" s="42" t="s">
        <v>61</v>
      </c>
      <c r="G1" s="42" t="s">
        <v>81</v>
      </c>
      <c r="H1" s="42" t="s">
        <v>41</v>
      </c>
      <c r="I1" s="137" t="s">
        <v>103</v>
      </c>
      <c r="J1" s="146" t="s">
        <v>104</v>
      </c>
      <c r="L1" s="19"/>
    </row>
    <row r="2" spans="1:13" ht="16.5" customHeight="1" x14ac:dyDescent="0.3">
      <c r="A2" s="142">
        <f>IFERROR(VLOOKUP(B2,'Data Feed'!A:I,2,FALSE),"")</f>
        <v>43983.631249999999</v>
      </c>
      <c r="B2" s="133" t="s">
        <v>6</v>
      </c>
      <c r="C2" s="134">
        <f>IFERROR(VLOOKUP(B2,'Data Feed'!$A$3:$I$30,8,FALSE),"")</f>
        <v>1.11005</v>
      </c>
      <c r="D2" s="135">
        <f>IFERROR(VLOOKUP(B2,'Data Feed'!$A$3:$I$30,9,FALSE),"")</f>
        <v>1.11538</v>
      </c>
      <c r="E2" s="132">
        <f t="shared" ref="E2:E29" si="0">IFERROR(IF(ISNUMBER(SEARCH("JPY",B2)),((D2-C2)*100),((D2-C2)*10000)),"")</f>
        <v>53.300000000000566</v>
      </c>
      <c r="F2" s="130">
        <f>VLOOKUP(B2,'Margin Requirement'!$A$2:$V$29,12,FALSE)</f>
        <v>10</v>
      </c>
      <c r="G2" s="130">
        <f>VLOOKUP(B2,'Margin Requirement'!$A$2:$V$29,22,FALSE)</f>
        <v>111.15799999999999</v>
      </c>
      <c r="H2" s="130">
        <f>VLOOKUP(B2,'Data Feed'!$A$3:$I$30,5,FALSE)</f>
        <v>0</v>
      </c>
      <c r="I2" s="138">
        <f>VLOOKUP(B2,'ADR(30)'!$A$1:$B$30,2,FALSE)</f>
        <v>79</v>
      </c>
      <c r="J2" s="140">
        <f t="shared" ref="J2:J29" si="1">E2/I2</f>
        <v>0.67468354430380462</v>
      </c>
    </row>
    <row r="3" spans="1:13" ht="16.5" customHeight="1" x14ac:dyDescent="0.3">
      <c r="A3" s="142">
        <f>IFERROR(VLOOKUP(B3,'Data Feed'!A:I,2,FALSE),"")</f>
        <v>43983.631249999999</v>
      </c>
      <c r="B3" s="133" t="s">
        <v>27</v>
      </c>
      <c r="C3" s="134">
        <f>IFERROR(VLOOKUP(B3,'Data Feed'!$A$3:$I$30,8,FALSE),"")</f>
        <v>0.95787999999999995</v>
      </c>
      <c r="D3" s="135">
        <f>IFERROR(VLOOKUP(B3,'Data Feed'!$A$3:$I$30,9,FALSE),"")</f>
        <v>0.96203000000000005</v>
      </c>
      <c r="E3" s="132">
        <f t="shared" si="0"/>
        <v>41.500000000000981</v>
      </c>
      <c r="F3" s="130">
        <f>VLOOKUP(B3,'Margin Requirement'!$A$2:$V$29,12,FALSE)</f>
        <v>10.402147003141449</v>
      </c>
      <c r="G3" s="130">
        <f>VLOOKUP(B3,'Margin Requirement'!$A$2:$V$29,22,FALSE)</f>
        <v>96.134</v>
      </c>
      <c r="H3" s="130">
        <f>VLOOKUP(B3,'Data Feed'!$A$3:$I$30,5,FALSE)</f>
        <v>0.20000000000020002</v>
      </c>
      <c r="I3" s="138">
        <f>VLOOKUP(B3,'ADR(30)'!$A$1:$B$30,2,FALSE)</f>
        <v>63</v>
      </c>
      <c r="J3" s="140">
        <f t="shared" si="1"/>
        <v>0.65873015873017426</v>
      </c>
    </row>
    <row r="4" spans="1:13" ht="16.5" customHeight="1" x14ac:dyDescent="0.3">
      <c r="A4" s="142">
        <f>IFERROR(VLOOKUP(B4,'Data Feed'!A:I,2,FALSE),"")</f>
        <v>43983.631249999999</v>
      </c>
      <c r="B4" s="133" t="s">
        <v>25</v>
      </c>
      <c r="C4" s="134">
        <f>IFERROR(VLOOKUP(B4,'Data Feed'!$A$3:$I$30,8,FALSE),"")</f>
        <v>1.2323599999999999</v>
      </c>
      <c r="D4" s="135">
        <f>IFERROR(VLOOKUP(B4,'Data Feed'!$A$3:$I$30,9,FALSE),"")</f>
        <v>1.24258</v>
      </c>
      <c r="E4" s="132">
        <f t="shared" si="0"/>
        <v>102.20000000000118</v>
      </c>
      <c r="F4" s="130">
        <f>VLOOKUP(B4,'Margin Requirement'!$A$2:$V$29,12,FALSE)</f>
        <v>10</v>
      </c>
      <c r="G4" s="130">
        <f>VLOOKUP(B4,'Margin Requirement'!$A$2:$V$29,22,FALSE)</f>
        <v>123.94099999999999</v>
      </c>
      <c r="H4" s="130">
        <f>VLOOKUP(B4,'Data Feed'!$A$3:$I$30,5,FALSE)</f>
        <v>0</v>
      </c>
      <c r="I4" s="138">
        <f>VLOOKUP(B4,'ADR(30)'!$A$1:$B$30,2,FALSE)</f>
        <v>114</v>
      </c>
      <c r="J4" s="140">
        <f t="shared" si="1"/>
        <v>0.89649122807018577</v>
      </c>
    </row>
    <row r="5" spans="1:13" ht="16.5" customHeight="1" x14ac:dyDescent="0.3">
      <c r="A5" s="142">
        <f>IFERROR(VLOOKUP(B5,'Data Feed'!A:I,2,FALSE),"")</f>
        <v>43983.631249999999</v>
      </c>
      <c r="B5" s="133" t="s">
        <v>17</v>
      </c>
      <c r="C5" s="134">
        <f>IFERROR(VLOOKUP(B5,'Data Feed'!$A$3:$I$30,8,FALSE),"")</f>
        <v>107.38</v>
      </c>
      <c r="D5" s="135">
        <f>IFERROR(VLOOKUP(B5,'Data Feed'!$A$3:$I$30,9,FALSE),"")</f>
        <v>107.858</v>
      </c>
      <c r="E5" s="132">
        <f t="shared" si="0"/>
        <v>47.800000000000864</v>
      </c>
      <c r="F5" s="130">
        <f>VLOOKUP(B5,'Margin Requirement'!$A$2:$V$29,12,FALSE)</f>
        <v>9.2825515877804499</v>
      </c>
      <c r="G5" s="130">
        <f>VLOOKUP(B5,'Margin Requirement'!$A$2:$V$29,22,FALSE)</f>
        <v>107.729</v>
      </c>
      <c r="H5" s="130">
        <f>VLOOKUP(B5,'Data Feed'!$A$3:$I$30,5,FALSE)</f>
        <v>0</v>
      </c>
      <c r="I5" s="138">
        <f>VLOOKUP(B5,'ADR(30)'!$A$1:$B$30,2,FALSE)</f>
        <v>60</v>
      </c>
      <c r="J5" s="140">
        <f t="shared" si="1"/>
        <v>0.79666666666668107</v>
      </c>
      <c r="L5" s="159" t="s">
        <v>101</v>
      </c>
      <c r="M5" s="159"/>
    </row>
    <row r="6" spans="1:13" ht="16.5" customHeight="1" x14ac:dyDescent="0.3">
      <c r="A6" s="142">
        <f>IFERROR(VLOOKUP(B6,'Data Feed'!A:I,2,FALSE),"")</f>
        <v>43983.631249999999</v>
      </c>
      <c r="B6" s="133" t="s">
        <v>26</v>
      </c>
      <c r="C6" s="134">
        <f>IFERROR(VLOOKUP(B6,'Data Feed'!$A$3:$I$30,8,FALSE),"")</f>
        <v>0.66478999999999999</v>
      </c>
      <c r="D6" s="135">
        <f>IFERROR(VLOOKUP(B6,'Data Feed'!$A$3:$I$30,9,FALSE),"")</f>
        <v>0.67723999999999995</v>
      </c>
      <c r="E6" s="132">
        <f t="shared" si="0"/>
        <v>124.49999999999962</v>
      </c>
      <c r="F6" s="130">
        <f>VLOOKUP(B6,'Margin Requirement'!$A$2:$V$29,12,FALSE)</f>
        <v>10</v>
      </c>
      <c r="G6" s="130">
        <f>VLOOKUP(B6,'Margin Requirement'!$A$2:$V$29,22,FALSE)</f>
        <v>67.406999999999996</v>
      </c>
      <c r="H6" s="130">
        <f>VLOOKUP(B6,'Data Feed'!$A$3:$I$30,5,FALSE)</f>
        <v>0.30000000000085514</v>
      </c>
      <c r="I6" s="138">
        <f>VLOOKUP(B6,'ADR(30)'!$A$1:$B$30,2,FALSE)</f>
        <v>82</v>
      </c>
      <c r="J6" s="140">
        <f t="shared" si="1"/>
        <v>1.5182926829268246</v>
      </c>
      <c r="L6" s="282" t="s">
        <v>99</v>
      </c>
      <c r="M6" s="283">
        <v>75</v>
      </c>
    </row>
    <row r="7" spans="1:13" ht="16.5" customHeight="1" x14ac:dyDescent="0.3">
      <c r="A7" s="142">
        <f>IFERROR(VLOOKUP(B7,'Data Feed'!A:I,2,FALSE),"")</f>
        <v>43983.631249999999</v>
      </c>
      <c r="B7" s="133" t="s">
        <v>12</v>
      </c>
      <c r="C7" s="134">
        <f>IFERROR(VLOOKUP(B7,'Data Feed'!$A$3:$I$30,8,FALSE),"")</f>
        <v>1.3673200000000001</v>
      </c>
      <c r="D7" s="135">
        <f>IFERROR(VLOOKUP(B7,'Data Feed'!$A$3:$I$30,9,FALSE),"")</f>
        <v>1.3800399999999999</v>
      </c>
      <c r="E7" s="132">
        <f t="shared" si="0"/>
        <v>127.19999999999843</v>
      </c>
      <c r="F7" s="130">
        <f>VLOOKUP(B7,'Margin Requirement'!$A$2:$V$29,12,FALSE)</f>
        <v>7.2963941220248945</v>
      </c>
      <c r="G7" s="130">
        <f>VLOOKUP(B7,'Margin Requirement'!$A$2:$V$29,22,FALSE)</f>
        <v>137.054</v>
      </c>
      <c r="H7" s="130">
        <f>VLOOKUP(B7,'Data Feed'!$A$3:$I$30,5,FALSE)</f>
        <v>0.50000000000105516</v>
      </c>
      <c r="I7" s="138">
        <f>VLOOKUP(B7,'ADR(30)'!$A$1:$B$30,2,FALSE)</f>
        <v>121</v>
      </c>
      <c r="J7" s="140">
        <f t="shared" si="1"/>
        <v>1.0512396694214745</v>
      </c>
      <c r="L7" s="282" t="s">
        <v>100</v>
      </c>
      <c r="M7" s="283">
        <v>20</v>
      </c>
    </row>
    <row r="8" spans="1:13" ht="16.5" customHeight="1" x14ac:dyDescent="0.3">
      <c r="A8" s="142">
        <f>IFERROR(VLOOKUP(B8,'Data Feed'!A:I,2,FALSE),"")</f>
        <v>43983.631249999999</v>
      </c>
      <c r="B8" s="133" t="s">
        <v>24</v>
      </c>
      <c r="C8" s="134">
        <f>IFERROR(VLOOKUP(B8,'Data Feed'!$A$3:$I$30,8,FALSE),"")</f>
        <v>0.61846999999999996</v>
      </c>
      <c r="D8" s="135">
        <f>IFERROR(VLOOKUP(B8,'Data Feed'!$A$3:$I$30,9,FALSE),"")</f>
        <v>0.62617999999999996</v>
      </c>
      <c r="E8" s="132">
        <f t="shared" si="0"/>
        <v>77.099999999999952</v>
      </c>
      <c r="F8" s="130">
        <f>VLOOKUP(B8,'Margin Requirement'!$A$2:$V$29,12,FALSE)</f>
        <v>10</v>
      </c>
      <c r="G8" s="130">
        <f>VLOOKUP(B8,'Margin Requirement'!$A$2:$V$29,22,FALSE)</f>
        <v>62.365000000000002</v>
      </c>
      <c r="H8" s="130">
        <f>VLOOKUP(B8,'Data Feed'!$A$3:$I$30,5,FALSE)</f>
        <v>0.29999999999974492</v>
      </c>
      <c r="I8" s="138">
        <f>VLOOKUP(B8,'ADR(30)'!$A$1:$B$30,2,FALSE)</f>
        <v>79</v>
      </c>
      <c r="J8" s="140">
        <f t="shared" si="1"/>
        <v>0.97594936708860702</v>
      </c>
      <c r="L8" s="282" t="s">
        <v>97</v>
      </c>
      <c r="M8" s="283">
        <v>0.1</v>
      </c>
    </row>
    <row r="9" spans="1:13" ht="16.5" customHeight="1" x14ac:dyDescent="0.3">
      <c r="A9" s="143">
        <f>IFERROR(VLOOKUP(B9,'Data Feed'!A:I,2,FALSE),"")</f>
        <v>43983.631249999999</v>
      </c>
      <c r="B9" s="46" t="s">
        <v>33</v>
      </c>
      <c r="C9" s="47">
        <f>IFERROR(VLOOKUP(B9,'Data Feed'!$A$3:$I$30,8,FALSE),"")</f>
        <v>0.89629000000000003</v>
      </c>
      <c r="D9" s="48">
        <f>IFERROR(VLOOKUP(B9,'Data Feed'!$A$3:$I$30,9,FALSE),"")</f>
        <v>0.90161999999999998</v>
      </c>
      <c r="E9" s="136">
        <f t="shared" si="0"/>
        <v>53.299999999999457</v>
      </c>
      <c r="F9" s="131">
        <f>VLOOKUP(B9,'Margin Requirement'!$A$2:$V$29,12,FALSE)</f>
        <v>12.394099999999998</v>
      </c>
      <c r="G9" s="131">
        <f>VLOOKUP(B9,'Margin Requirement'!$A$2:$V$29,22,FALSE)</f>
        <v>123.94099999999999</v>
      </c>
      <c r="H9" s="131">
        <f>VLOOKUP(B9,'Data Feed'!$A$3:$I$30,5,FALSE)</f>
        <v>0.20000000000020002</v>
      </c>
      <c r="I9" s="139">
        <f>VLOOKUP(B9,'ADR(30)'!$A$1:$B$30,2,FALSE)</f>
        <v>67</v>
      </c>
      <c r="J9" s="141">
        <f t="shared" si="1"/>
        <v>0.79552238805969344</v>
      </c>
      <c r="L9" s="282" t="s">
        <v>98</v>
      </c>
      <c r="M9" s="283">
        <v>1</v>
      </c>
    </row>
    <row r="10" spans="1:13" ht="16.5" customHeight="1" x14ac:dyDescent="0.3">
      <c r="A10" s="143">
        <f>IFERROR(VLOOKUP(B10,'Data Feed'!A:I,2,FALSE),"")</f>
        <v>43983.631249999999</v>
      </c>
      <c r="B10" s="46" t="s">
        <v>11</v>
      </c>
      <c r="C10" s="47">
        <f>IFERROR(VLOOKUP(B10,'Data Feed'!$A$3:$I$30,8,FALSE),"")</f>
        <v>1.6463099999999999</v>
      </c>
      <c r="D10" s="48">
        <f>IFERROR(VLOOKUP(B10,'Data Feed'!$A$3:$I$30,9,FALSE),"")</f>
        <v>1.6706799999999999</v>
      </c>
      <c r="E10" s="136">
        <f t="shared" si="0"/>
        <v>243.70000000000002</v>
      </c>
      <c r="F10" s="131">
        <f>VLOOKUP(B10,'Margin Requirement'!$A$2:$V$29,12,FALSE)</f>
        <v>6.7410000000000005</v>
      </c>
      <c r="G10" s="131">
        <f>VLOOKUP(B10,'Margin Requirement'!$A$2:$V$29,22,FALSE)</f>
        <v>67.41</v>
      </c>
      <c r="H10" s="131">
        <f>VLOOKUP(B10,'Data Feed'!$A$3:$I$30,5,FALSE)</f>
        <v>0.19999999999908979</v>
      </c>
      <c r="I10" s="139">
        <f>VLOOKUP(B10,'ADR(30)'!$A$1:$B$30,2,FALSE)</f>
        <v>180</v>
      </c>
      <c r="J10" s="141">
        <f t="shared" si="1"/>
        <v>1.3538888888888889</v>
      </c>
      <c r="L10" s="282" t="s">
        <v>105</v>
      </c>
      <c r="M10" s="284">
        <v>1</v>
      </c>
    </row>
    <row r="11" spans="1:13" ht="16.5" customHeight="1" x14ac:dyDescent="0.3">
      <c r="A11" s="143">
        <f>IFERROR(VLOOKUP(B11,'Data Feed'!A:I,2,FALSE),"")</f>
        <v>43983.631249999999</v>
      </c>
      <c r="B11" s="46" t="s">
        <v>15</v>
      </c>
      <c r="C11" s="47">
        <f>IFERROR(VLOOKUP(B11,'Data Feed'!$A$3:$I$30,8,FALSE),"")</f>
        <v>1.5228200000000001</v>
      </c>
      <c r="D11" s="48">
        <f>IFERROR(VLOOKUP(B11,'Data Feed'!$A$3:$I$30,9,FALSE),"")</f>
        <v>1.5325299999999999</v>
      </c>
      <c r="E11" s="136">
        <f t="shared" si="0"/>
        <v>97.099999999998857</v>
      </c>
      <c r="F11" s="131">
        <f>VLOOKUP(B11,'Margin Requirement'!$A$2:$V$29,12,FALSE)</f>
        <v>7.2966603185721892</v>
      </c>
      <c r="G11" s="131">
        <f>VLOOKUP(B11,'Margin Requirement'!$A$2:$V$29,22,FALSE)</f>
        <v>137.04900000000001</v>
      </c>
      <c r="H11" s="131">
        <f>VLOOKUP(B11,'Data Feed'!$A$3:$I$30,5,FALSE)</f>
        <v>0.40000000000040004</v>
      </c>
      <c r="I11" s="139">
        <f>VLOOKUP(B11,'ADR(30)'!$A$1:$B$30,2,FALSE)</f>
        <v>130</v>
      </c>
      <c r="J11" s="141">
        <f t="shared" si="1"/>
        <v>0.74692307692306814</v>
      </c>
    </row>
    <row r="12" spans="1:13" ht="16.5" customHeight="1" x14ac:dyDescent="0.3">
      <c r="A12" s="143">
        <f>IFERROR(VLOOKUP(B12,'Data Feed'!A:I,2,FALSE),"")</f>
        <v>43983.631249999999</v>
      </c>
      <c r="B12" s="46" t="s">
        <v>30</v>
      </c>
      <c r="C12" s="47">
        <f>IFERROR(VLOOKUP(B12,'Data Feed'!$A$3:$I$30,8,FALSE),"")</f>
        <v>1.0668800000000001</v>
      </c>
      <c r="D12" s="48">
        <f>IFERROR(VLOOKUP(B12,'Data Feed'!$A$3:$I$30,9,FALSE),"")</f>
        <v>1.0706599999999999</v>
      </c>
      <c r="E12" s="136">
        <f t="shared" si="0"/>
        <v>37.799999999998946</v>
      </c>
      <c r="F12" s="131">
        <f>VLOOKUP(B12,'Margin Requirement'!$A$2:$V$29,12,FALSE)</f>
        <v>10.402363416968337</v>
      </c>
      <c r="G12" s="131">
        <f>VLOOKUP(B12,'Margin Requirement'!$A$2:$V$29,22,FALSE)</f>
        <v>96.131999999999991</v>
      </c>
      <c r="H12" s="131">
        <f>VLOOKUP(B12,'Data Feed'!$A$3:$I$30,5,FALSE)</f>
        <v>0.29999999999974492</v>
      </c>
      <c r="I12" s="139">
        <f>VLOOKUP(B12,'ADR(30)'!$A$1:$B$30,2,FALSE)</f>
        <v>43</v>
      </c>
      <c r="J12" s="141">
        <f t="shared" si="1"/>
        <v>0.87906976744183596</v>
      </c>
    </row>
    <row r="13" spans="1:13" ht="16.5" customHeight="1" x14ac:dyDescent="0.3">
      <c r="A13" s="143">
        <f>IFERROR(VLOOKUP(B13,'Data Feed'!A:I,2,FALSE),"")</f>
        <v>43983.631249999999</v>
      </c>
      <c r="B13" s="46" t="s">
        <v>8</v>
      </c>
      <c r="C13" s="47">
        <f>IFERROR(VLOOKUP(B13,'Data Feed'!$A$3:$I$30,8,FALSE),"")</f>
        <v>1.7796000000000001</v>
      </c>
      <c r="D13" s="48">
        <f>IFERROR(VLOOKUP(B13,'Data Feed'!$A$3:$I$30,9,FALSE),"")</f>
        <v>1.7956000000000001</v>
      </c>
      <c r="E13" s="136">
        <f t="shared" si="0"/>
        <v>160.00000000000014</v>
      </c>
      <c r="F13" s="131">
        <f>VLOOKUP(B13,'Margin Requirement'!$A$2:$V$29,12,FALSE)</f>
        <v>6.2368000000000006</v>
      </c>
      <c r="G13" s="131">
        <f>VLOOKUP(B13,'Margin Requirement'!$A$2:$V$29,22,FALSE)</f>
        <v>62.368000000000002</v>
      </c>
      <c r="H13" s="131">
        <f>VLOOKUP(B13,'Data Feed'!$A$3:$I$30,5,FALSE)</f>
        <v>1.100000000000545</v>
      </c>
      <c r="I13" s="139">
        <f>VLOOKUP(B13,'ADR(30)'!$A$1:$B$30,2,FALSE)</f>
        <v>195</v>
      </c>
      <c r="J13" s="141">
        <f t="shared" si="1"/>
        <v>0.82051282051282126</v>
      </c>
    </row>
    <row r="14" spans="1:13" ht="16.5" customHeight="1" x14ac:dyDescent="0.3">
      <c r="A14" s="143">
        <f>IFERROR(VLOOKUP(B14,'Data Feed'!A:I,2,FALSE),"")</f>
        <v>43983.631249999999</v>
      </c>
      <c r="B14" s="46" t="s">
        <v>10</v>
      </c>
      <c r="C14" s="47">
        <f>IFERROR(VLOOKUP(B14,'Data Feed'!$A$3:$I$30,8,FALSE),"")</f>
        <v>1.83433</v>
      </c>
      <c r="D14" s="48">
        <f>IFERROR(VLOOKUP(B14,'Data Feed'!$A$3:$I$30,9,FALSE),"")</f>
        <v>1.8552</v>
      </c>
      <c r="E14" s="136">
        <f t="shared" si="0"/>
        <v>208.69999999999945</v>
      </c>
      <c r="F14" s="131">
        <f>VLOOKUP(B14,'Margin Requirement'!$A$2:$V$29,12,FALSE)</f>
        <v>6.7410000000000005</v>
      </c>
      <c r="G14" s="131">
        <f>VLOOKUP(B14,'Margin Requirement'!$A$2:$V$29,22,FALSE)</f>
        <v>67.41</v>
      </c>
      <c r="H14" s="131">
        <f>VLOOKUP(B14,'Data Feed'!$A$3:$I$30,5,FALSE)</f>
        <v>0.49999999999883471</v>
      </c>
      <c r="I14" s="139">
        <f>VLOOKUP(B14,'ADR(30)'!$A$1:$B$30,2,FALSE)</f>
        <v>176</v>
      </c>
      <c r="J14" s="141">
        <f t="shared" si="1"/>
        <v>1.1857954545454514</v>
      </c>
    </row>
    <row r="15" spans="1:13" ht="16.5" customHeight="1" x14ac:dyDescent="0.3">
      <c r="A15" s="143">
        <f>IFERROR(VLOOKUP(B15,'Data Feed'!A:I,2,FALSE),"")</f>
        <v>43983.631249999999</v>
      </c>
      <c r="B15" s="46" t="s">
        <v>14</v>
      </c>
      <c r="C15" s="47">
        <f>IFERROR(VLOOKUP(B15,'Data Feed'!$A$3:$I$30,8,FALSE),"")</f>
        <v>1.6971799999999999</v>
      </c>
      <c r="D15" s="48">
        <f>IFERROR(VLOOKUP(B15,'Data Feed'!$A$3:$I$30,9,FALSE),"")</f>
        <v>1.70305</v>
      </c>
      <c r="E15" s="136">
        <f t="shared" si="0"/>
        <v>58.700000000000415</v>
      </c>
      <c r="F15" s="131">
        <f>VLOOKUP(B15,'Margin Requirement'!$A$2:$V$29,12,FALSE)</f>
        <v>7.2966603185721892</v>
      </c>
      <c r="G15" s="131">
        <f>VLOOKUP(B15,'Margin Requirement'!$A$2:$V$29,22,FALSE)</f>
        <v>137.04900000000001</v>
      </c>
      <c r="H15" s="131">
        <f>VLOOKUP(B15,'Data Feed'!$A$3:$I$30,5,FALSE)</f>
        <v>0.39999999999817959</v>
      </c>
      <c r="I15" s="139">
        <f>VLOOKUP(B15,'ADR(30)'!$A$1:$B$30,2,FALSE)</f>
        <v>141</v>
      </c>
      <c r="J15" s="141">
        <f t="shared" si="1"/>
        <v>0.41631205673759158</v>
      </c>
    </row>
    <row r="16" spans="1:13" ht="16.5" customHeight="1" x14ac:dyDescent="0.3">
      <c r="A16" s="143">
        <f>IFERROR(VLOOKUP(B16,'Data Feed'!A:I,2,FALSE),"")</f>
        <v>43983.631249999999</v>
      </c>
      <c r="B16" s="46" t="s">
        <v>29</v>
      </c>
      <c r="C16" s="47">
        <f>IFERROR(VLOOKUP(B16,'Data Feed'!$A$3:$I$30,8,FALSE),"")</f>
        <v>1.1838599999999999</v>
      </c>
      <c r="D16" s="48">
        <f>IFERROR(VLOOKUP(B16,'Data Feed'!$A$3:$I$30,9,FALSE),"")</f>
        <v>1.1924300000000001</v>
      </c>
      <c r="E16" s="136">
        <f t="shared" si="0"/>
        <v>85.700000000001893</v>
      </c>
      <c r="F16" s="131">
        <f>VLOOKUP(B16,'Margin Requirement'!$A$2:$V$29,12,FALSE)</f>
        <v>10.402363416968337</v>
      </c>
      <c r="G16" s="131">
        <f>VLOOKUP(B16,'Margin Requirement'!$A$2:$V$29,22,FALSE)</f>
        <v>96.131999999999991</v>
      </c>
      <c r="H16" s="131">
        <f>VLOOKUP(B16,'Data Feed'!$A$3:$I$30,5,FALSE)</f>
        <v>0.59999999999948983</v>
      </c>
      <c r="I16" s="139">
        <f>VLOOKUP(B16,'ADR(30)'!$A$1:$B$30,2,FALSE)</f>
        <v>104</v>
      </c>
      <c r="J16" s="141">
        <f t="shared" si="1"/>
        <v>0.82403846153847971</v>
      </c>
    </row>
    <row r="17" spans="1:10" ht="16.5" customHeight="1" x14ac:dyDescent="0.3">
      <c r="A17" s="143">
        <f>IFERROR(VLOOKUP(B17,'Data Feed'!A:I,2,FALSE),"")</f>
        <v>43983.631249999999</v>
      </c>
      <c r="B17" s="46" t="s">
        <v>7</v>
      </c>
      <c r="C17" s="47">
        <f>IFERROR(VLOOKUP(B17,'Data Feed'!$A$3:$I$30,8,FALSE),"")</f>
        <v>1.98247</v>
      </c>
      <c r="D17" s="48">
        <f>IFERROR(VLOOKUP(B17,'Data Feed'!$A$3:$I$30,9,FALSE),"")</f>
        <v>1.9933099999999999</v>
      </c>
      <c r="E17" s="136">
        <f t="shared" si="0"/>
        <v>108.39999999999961</v>
      </c>
      <c r="F17" s="131">
        <f>VLOOKUP(B17,'Margin Requirement'!$A$2:$V$29,12,FALSE)</f>
        <v>6.2368000000000006</v>
      </c>
      <c r="G17" s="131">
        <f>VLOOKUP(B17,'Margin Requirement'!$A$2:$V$29,22,FALSE)</f>
        <v>62.368000000000002</v>
      </c>
      <c r="H17" s="131">
        <f>VLOOKUP(B17,'Data Feed'!$A$3:$I$30,5,FALSE)</f>
        <v>0.99999999999988987</v>
      </c>
      <c r="I17" s="139">
        <f>VLOOKUP(B17,'ADR(30)'!$A$1:$B$30,2,FALSE)</f>
        <v>193</v>
      </c>
      <c r="J17" s="141">
        <f t="shared" si="1"/>
        <v>0.56165803108808088</v>
      </c>
    </row>
    <row r="18" spans="1:10" ht="16.5" customHeight="1" x14ac:dyDescent="0.3">
      <c r="A18" s="143">
        <f>IFERROR(VLOOKUP(B18,'Data Feed'!A:I,2,FALSE),"")</f>
        <v>43983.631249999999</v>
      </c>
      <c r="B18" s="46" t="s">
        <v>20</v>
      </c>
      <c r="C18" s="47">
        <f>IFERROR(VLOOKUP(B18,'Data Feed'!$A$3:$I$30,8,FALSE),"")</f>
        <v>119.425</v>
      </c>
      <c r="D18" s="48">
        <f>IFERROR(VLOOKUP(B18,'Data Feed'!$A$3:$I$30,9,FALSE),"")</f>
        <v>119.976</v>
      </c>
      <c r="E18" s="136">
        <f t="shared" si="0"/>
        <v>55.100000000000193</v>
      </c>
      <c r="F18" s="131">
        <f>VLOOKUP(B18,'Margin Requirement'!$A$2:$V$29,12,FALSE)</f>
        <v>9.2825515877804499</v>
      </c>
      <c r="G18" s="131">
        <f>VLOOKUP(B18,'Margin Requirement'!$A$2:$V$29,22,FALSE)</f>
        <v>107.729</v>
      </c>
      <c r="H18" s="131">
        <f>VLOOKUP(B18,'Data Feed'!$A$3:$I$30,5,FALSE)</f>
        <v>9.9999999999056399E-2</v>
      </c>
      <c r="I18" s="139">
        <f>VLOOKUP(B18,'ADR(30)'!$A$1:$B$30,2,FALSE)</f>
        <v>93</v>
      </c>
      <c r="J18" s="141">
        <f t="shared" si="1"/>
        <v>0.59247311827957194</v>
      </c>
    </row>
    <row r="19" spans="1:10" ht="16.5" customHeight="1" x14ac:dyDescent="0.3">
      <c r="A19" s="143">
        <f>IFERROR(VLOOKUP(B19,'Data Feed'!A:I,2,FALSE),"")</f>
        <v>43983.631249999999</v>
      </c>
      <c r="B19" s="46" t="s">
        <v>19</v>
      </c>
      <c r="C19" s="47">
        <f>IFERROR(VLOOKUP(B19,'Data Feed'!$A$3:$I$30,8,FALSE),"")</f>
        <v>132.703</v>
      </c>
      <c r="D19" s="48">
        <f>IFERROR(VLOOKUP(B19,'Data Feed'!$A$3:$I$30,9,FALSE),"")</f>
        <v>133.66900000000001</v>
      </c>
      <c r="E19" s="136">
        <f t="shared" si="0"/>
        <v>96.600000000000819</v>
      </c>
      <c r="F19" s="131">
        <f>VLOOKUP(B19,'Margin Requirement'!$A$2:$V$29,12,FALSE)</f>
        <v>9.2825515877804499</v>
      </c>
      <c r="G19" s="131">
        <f>VLOOKUP(B19,'Margin Requirement'!$A$2:$V$29,22,FALSE)</f>
        <v>107.729</v>
      </c>
      <c r="H19" s="131">
        <f>VLOOKUP(B19,'Data Feed'!$A$3:$I$30,5,FALSE)</f>
        <v>0.1999999999981128</v>
      </c>
      <c r="I19" s="139">
        <f>VLOOKUP(B19,'ADR(30)'!$A$1:$B$30,2,FALSE)</f>
        <v>133</v>
      </c>
      <c r="J19" s="141">
        <f t="shared" si="1"/>
        <v>0.72631578947369035</v>
      </c>
    </row>
    <row r="20" spans="1:10" ht="16.5" customHeight="1" x14ac:dyDescent="0.3">
      <c r="A20" s="143">
        <f>IFERROR(VLOOKUP(B20,'Data Feed'!A:I,2,FALSE),"")</f>
        <v>43983.631249999999</v>
      </c>
      <c r="B20" s="46" t="s">
        <v>23</v>
      </c>
      <c r="C20" s="47">
        <f>IFERROR(VLOOKUP(B20,'Data Feed'!$A$3:$I$30,8,FALSE),"")</f>
        <v>71.603999999999999</v>
      </c>
      <c r="D20" s="48">
        <f>IFERROR(VLOOKUP(B20,'Data Feed'!$A$3:$I$30,9,FALSE),"")</f>
        <v>72.825000000000003</v>
      </c>
      <c r="E20" s="136">
        <f t="shared" si="0"/>
        <v>122.10000000000036</v>
      </c>
      <c r="F20" s="131">
        <f>VLOOKUP(B20,'Margin Requirement'!$A$2:$V$29,12,FALSE)</f>
        <v>9.2825515877804499</v>
      </c>
      <c r="G20" s="131">
        <f>VLOOKUP(B20,'Margin Requirement'!$A$2:$V$29,22,FALSE)</f>
        <v>107.729</v>
      </c>
      <c r="H20" s="131">
        <f>VLOOKUP(B20,'Data Feed'!$A$3:$I$30,5,FALSE)</f>
        <v>0.30000000000001137</v>
      </c>
      <c r="I20" s="139">
        <f>VLOOKUP(B20,'ADR(30)'!$A$1:$B$30,2,FALSE)</f>
        <v>88</v>
      </c>
      <c r="J20" s="141">
        <f t="shared" si="1"/>
        <v>1.3875000000000042</v>
      </c>
    </row>
    <row r="21" spans="1:10" ht="16.5" customHeight="1" x14ac:dyDescent="0.3">
      <c r="A21" s="143">
        <f>IFERROR(VLOOKUP(B21,'Data Feed'!A:I,2,FALSE),"")</f>
        <v>43983.631249999999</v>
      </c>
      <c r="B21" s="46" t="s">
        <v>18</v>
      </c>
      <c r="C21" s="47">
        <f>IFERROR(VLOOKUP(B21,'Data Feed'!$A$3:$I$30,8,FALSE),"")</f>
        <v>66.605999999999995</v>
      </c>
      <c r="D21" s="48">
        <f>IFERROR(VLOOKUP(B21,'Data Feed'!$A$3:$I$30,9,FALSE),"")</f>
        <v>67.334999999999994</v>
      </c>
      <c r="E21" s="136">
        <f t="shared" si="0"/>
        <v>72.89999999999992</v>
      </c>
      <c r="F21" s="131">
        <f>VLOOKUP(B21,'Margin Requirement'!$A$2:$V$29,12,FALSE)</f>
        <v>9.2825515877804499</v>
      </c>
      <c r="G21" s="131">
        <f>VLOOKUP(B21,'Margin Requirement'!$A$2:$V$29,22,FALSE)</f>
        <v>107.729</v>
      </c>
      <c r="H21" s="131">
        <f>VLOOKUP(B21,'Data Feed'!$A$3:$I$30,5,FALSE)</f>
        <v>0.39999999999906777</v>
      </c>
      <c r="I21" s="139">
        <f>VLOOKUP(B21,'ADR(30)'!$A$1:$B$30,2,FALSE)</f>
        <v>84</v>
      </c>
      <c r="J21" s="141">
        <f t="shared" si="1"/>
        <v>0.86785714285714188</v>
      </c>
    </row>
    <row r="22" spans="1:10" ht="16.5" customHeight="1" x14ac:dyDescent="0.3">
      <c r="A22" s="143">
        <f>IFERROR(VLOOKUP(B22,'Data Feed'!A:I,2,FALSE),"")</f>
        <v>43983.631249999999</v>
      </c>
      <c r="B22" s="46" t="s">
        <v>22</v>
      </c>
      <c r="C22" s="47">
        <f>IFERROR(VLOOKUP(B22,'Data Feed'!$A$3:$I$30,8,FALSE),"")</f>
        <v>78.040000000000006</v>
      </c>
      <c r="D22" s="48">
        <f>IFERROR(VLOOKUP(B22,'Data Feed'!$A$3:$I$30,9,FALSE),"")</f>
        <v>78.647000000000006</v>
      </c>
      <c r="E22" s="136">
        <f t="shared" si="0"/>
        <v>60.699999999999932</v>
      </c>
      <c r="F22" s="131">
        <f>VLOOKUP(B22,'Margin Requirement'!$A$2:$V$29,12,FALSE)</f>
        <v>9.2825515877804499</v>
      </c>
      <c r="G22" s="131">
        <f>VLOOKUP(B22,'Margin Requirement'!$A$2:$V$29,22,FALSE)</f>
        <v>107.729</v>
      </c>
      <c r="H22" s="131">
        <f>VLOOKUP(B22,'Data Feed'!$A$3:$I$30,5,FALSE)</f>
        <v>0.19999999999953388</v>
      </c>
      <c r="I22" s="139">
        <f>VLOOKUP(B22,'ADR(30)'!$A$1:$B$30,2,FALSE)</f>
        <v>75</v>
      </c>
      <c r="J22" s="141">
        <f t="shared" si="1"/>
        <v>0.80933333333333246</v>
      </c>
    </row>
    <row r="23" spans="1:10" ht="16.5" customHeight="1" x14ac:dyDescent="0.3">
      <c r="A23" s="143">
        <f>IFERROR(VLOOKUP(B23,'Data Feed'!A:I,2,FALSE),"")</f>
        <v>43983.631249999999</v>
      </c>
      <c r="B23" s="46" t="s">
        <v>21</v>
      </c>
      <c r="C23" s="47">
        <f>IFERROR(VLOOKUP(B23,'Data Feed'!$A$3:$I$30,8,FALSE),"")</f>
        <v>111.761</v>
      </c>
      <c r="D23" s="48">
        <f>IFERROR(VLOOKUP(B23,'Data Feed'!$A$3:$I$30,9,FALSE),"")</f>
        <v>112.307</v>
      </c>
      <c r="E23" s="136">
        <f t="shared" si="0"/>
        <v>54.600000000000648</v>
      </c>
      <c r="F23" s="131">
        <f>VLOOKUP(B23,'Margin Requirement'!$A$2:$V$29,12,FALSE)</f>
        <v>9.2825515877804499</v>
      </c>
      <c r="G23" s="131">
        <f>VLOOKUP(B23,'Margin Requirement'!$A$2:$V$29,22,FALSE)</f>
        <v>107.729</v>
      </c>
      <c r="H23" s="131">
        <f>VLOOKUP(B23,'Data Feed'!$A$3:$I$30,5,FALSE)</f>
        <v>0.40000000000048885</v>
      </c>
      <c r="I23" s="139">
        <f>VLOOKUP(B23,'ADR(30)'!$A$1:$B$30,2,FALSE)</f>
        <v>83</v>
      </c>
      <c r="J23" s="141">
        <f t="shared" si="1"/>
        <v>0.65783132530121258</v>
      </c>
    </row>
    <row r="24" spans="1:10" ht="16.5" customHeight="1" x14ac:dyDescent="0.3">
      <c r="A24" s="143">
        <f>IFERROR(VLOOKUP(B24,'Data Feed'!A:I,2,FALSE),"")</f>
        <v>43983.631249999999</v>
      </c>
      <c r="B24" s="46" t="s">
        <v>16</v>
      </c>
      <c r="C24" s="47">
        <f>IFERROR(VLOOKUP(B24,'Data Feed'!$A$3:$I$30,8,FALSE),"")</f>
        <v>0.91624000000000005</v>
      </c>
      <c r="D24" s="48">
        <f>IFERROR(VLOOKUP(B24,'Data Feed'!$A$3:$I$30,9,FALSE),"")</f>
        <v>0.92623</v>
      </c>
      <c r="E24" s="136">
        <f t="shared" si="0"/>
        <v>99.899999999999437</v>
      </c>
      <c r="F24" s="131">
        <f>VLOOKUP(B24,'Margin Requirement'!$A$2:$V$29,12,FALSE)</f>
        <v>7.2966603185721892</v>
      </c>
      <c r="G24" s="131">
        <f>VLOOKUP(B24,'Margin Requirement'!$A$2:$V$29,22,FALSE)</f>
        <v>137.04900000000001</v>
      </c>
      <c r="H24" s="131">
        <f>VLOOKUP(B24,'Data Feed'!$A$3:$I$30,5,FALSE)</f>
        <v>0.40000000000040004</v>
      </c>
      <c r="I24" s="139">
        <f>VLOOKUP(B24,'ADR(30)'!$A$1:$B$30,2,FALSE)</f>
        <v>72</v>
      </c>
      <c r="J24" s="141">
        <f t="shared" si="1"/>
        <v>1.3874999999999922</v>
      </c>
    </row>
    <row r="25" spans="1:10" ht="16.5" customHeight="1" x14ac:dyDescent="0.3">
      <c r="A25" s="143">
        <f>IFERROR(VLOOKUP(B25,'Data Feed'!A:I,2,FALSE),"")</f>
        <v>43983.631249999999</v>
      </c>
      <c r="B25" s="46" t="s">
        <v>32</v>
      </c>
      <c r="C25" s="47">
        <f>IFERROR(VLOOKUP(B25,'Data Feed'!$A$3:$I$30,8,FALSE),"")</f>
        <v>0.63902000000000003</v>
      </c>
      <c r="D25" s="48">
        <f>IFERROR(VLOOKUP(B25,'Data Feed'!$A$3:$I$30,9,FALSE),"")</f>
        <v>0.64981999999999995</v>
      </c>
      <c r="E25" s="136">
        <f t="shared" si="0"/>
        <v>107.9999999999992</v>
      </c>
      <c r="F25" s="131">
        <f>VLOOKUP(B25,'Margin Requirement'!$A$2:$V$29,12,FALSE)</f>
        <v>10.402363416968337</v>
      </c>
      <c r="G25" s="131">
        <f>VLOOKUP(B25,'Margin Requirement'!$A$2:$V$29,22,FALSE)</f>
        <v>96.131999999999991</v>
      </c>
      <c r="H25" s="131">
        <f>VLOOKUP(B25,'Data Feed'!$A$3:$I$30,5,FALSE)</f>
        <v>0.29999999999974492</v>
      </c>
      <c r="I25" s="139">
        <f>VLOOKUP(B25,'ADR(30)'!$A$1:$B$30,2,FALSE)</f>
        <v>76</v>
      </c>
      <c r="J25" s="141">
        <f t="shared" si="1"/>
        <v>1.4210526315789369</v>
      </c>
    </row>
    <row r="26" spans="1:10" ht="16.5" customHeight="1" x14ac:dyDescent="0.3">
      <c r="A26" s="143">
        <f>IFERROR(VLOOKUP(B26,'Data Feed'!A:I,2,FALSE),"")</f>
        <v>43983.631249999999</v>
      </c>
      <c r="B26" s="46" t="s">
        <v>9</v>
      </c>
      <c r="C26" s="47">
        <f>IFERROR(VLOOKUP(B26,'Data Feed'!$A$3:$I$30,8,FALSE),"")</f>
        <v>1.0737399999999999</v>
      </c>
      <c r="D26" s="48">
        <f>IFERROR(VLOOKUP(B26,'Data Feed'!$A$3:$I$30,9,FALSE),"")</f>
        <v>1.0816699999999999</v>
      </c>
      <c r="E26" s="136">
        <f t="shared" si="0"/>
        <v>79.299999999999926</v>
      </c>
      <c r="F26" s="131">
        <f>VLOOKUP(B26,'Margin Requirement'!$A$2:$V$29,12,FALSE)</f>
        <v>6.2368000000000006</v>
      </c>
      <c r="G26" s="131">
        <f>VLOOKUP(B26,'Margin Requirement'!$A$2:$V$29,22,FALSE)</f>
        <v>62.368000000000002</v>
      </c>
      <c r="H26" s="131">
        <f>VLOOKUP(B26,'Data Feed'!$A$3:$I$30,5,FALSE)</f>
        <v>0.59999999999948983</v>
      </c>
      <c r="I26" s="139">
        <f>VLOOKUP(B26,'ADR(30)'!$A$1:$B$30,2,FALSE)</f>
        <v>66</v>
      </c>
      <c r="J26" s="141">
        <f t="shared" si="1"/>
        <v>1.2015151515151503</v>
      </c>
    </row>
    <row r="27" spans="1:10" ht="16.5" customHeight="1" x14ac:dyDescent="0.3">
      <c r="A27" s="143">
        <f>IFERROR(VLOOKUP(B27,'Data Feed'!A:I,2,FALSE),"")</f>
        <v>43983.631249999999</v>
      </c>
      <c r="B27" s="46" t="s">
        <v>13</v>
      </c>
      <c r="C27" s="47">
        <f>IFERROR(VLOOKUP(B27,'Data Feed'!$A$3:$I$30,8,FALSE),"")</f>
        <v>0.85202</v>
      </c>
      <c r="D27" s="48">
        <f>IFERROR(VLOOKUP(B27,'Data Feed'!$A$3:$I$30,9,FALSE),"")</f>
        <v>0.85721000000000003</v>
      </c>
      <c r="E27" s="136">
        <f t="shared" si="0"/>
        <v>51.900000000000276</v>
      </c>
      <c r="F27" s="131">
        <f>VLOOKUP(B27,'Margin Requirement'!$A$2:$V$29,12,FALSE)</f>
        <v>7.2966603185721892</v>
      </c>
      <c r="G27" s="131">
        <f>VLOOKUP(B27,'Margin Requirement'!$A$2:$V$29,22,FALSE)</f>
        <v>137.04900000000001</v>
      </c>
      <c r="H27" s="131">
        <f>VLOOKUP(B27,'Data Feed'!$A$3:$I$30,5,FALSE)</f>
        <v>0.70000000000014495</v>
      </c>
      <c r="I27" s="139">
        <f>VLOOKUP(B27,'ADR(30)'!$A$1:$B$30,2,FALSE)</f>
        <v>78</v>
      </c>
      <c r="J27" s="141">
        <f t="shared" si="1"/>
        <v>0.6653846153846189</v>
      </c>
    </row>
    <row r="28" spans="1:10" ht="16.5" customHeight="1" x14ac:dyDescent="0.3">
      <c r="A28" s="143">
        <f>IFERROR(VLOOKUP(B28,'Data Feed'!A:I,2,FALSE),"")</f>
        <v>43983.631249999999</v>
      </c>
      <c r="B28" s="46" t="s">
        <v>28</v>
      </c>
      <c r="C28" s="47">
        <f>IFERROR(VLOOKUP(B28,'Data Feed'!$A$3:$I$30,8,FALSE),"")</f>
        <v>0.59450000000000003</v>
      </c>
      <c r="D28" s="48">
        <f>IFERROR(VLOOKUP(B28,'Data Feed'!$A$3:$I$30,9,FALSE),"")</f>
        <v>0.60089000000000004</v>
      </c>
      <c r="E28" s="136">
        <f t="shared" si="0"/>
        <v>63.90000000000007</v>
      </c>
      <c r="F28" s="131">
        <f>VLOOKUP(B28,'Margin Requirement'!$A$2:$V$29,12,FALSE)</f>
        <v>10.402363416968337</v>
      </c>
      <c r="G28" s="131">
        <f>VLOOKUP(B28,'Margin Requirement'!$A$2:$V$29,22,FALSE)</f>
        <v>96.131999999999991</v>
      </c>
      <c r="H28" s="131">
        <f>VLOOKUP(B28,'Data Feed'!$A$3:$I$30,5,FALSE)</f>
        <v>0.40000000000040004</v>
      </c>
      <c r="I28" s="139">
        <f>VLOOKUP(B28,'ADR(30)'!$A$1:$B$30,2,FALSE)</f>
        <v>71</v>
      </c>
      <c r="J28" s="141">
        <f t="shared" si="1"/>
        <v>0.90000000000000102</v>
      </c>
    </row>
    <row r="29" spans="1:10" ht="16.5" customHeight="1" x14ac:dyDescent="0.3">
      <c r="A29" s="143">
        <f>IFERROR(VLOOKUP(B29,'Data Feed'!A:I,2,FALSE),"")</f>
        <v>43983.631249999999</v>
      </c>
      <c r="B29" s="46" t="s">
        <v>31</v>
      </c>
      <c r="C29" s="47">
        <f>IFERROR(VLOOKUP(B29,'Data Feed'!$A$3:$I$30,8,FALSE),"")</f>
        <v>0.69642999999999999</v>
      </c>
      <c r="D29" s="48">
        <f>IFERROR(VLOOKUP(B29,'Data Feed'!$A$3:$I$30,9,FALSE),"")</f>
        <v>0.70189999999999997</v>
      </c>
      <c r="E29" s="136">
        <f t="shared" si="0"/>
        <v>54.699999999999747</v>
      </c>
      <c r="F29" s="131">
        <f>VLOOKUP(B29,'Margin Requirement'!$A$2:$V$29,12,FALSE)</f>
        <v>10.402363416968337</v>
      </c>
      <c r="G29" s="131">
        <f>VLOOKUP(B29,'Margin Requirement'!$A$2:$V$29,22,FALSE)</f>
        <v>96.131999999999991</v>
      </c>
      <c r="H29" s="131">
        <f>VLOOKUP(B29,'Data Feed'!$A$3:$I$30,5,FALSE)</f>
        <v>0.29999999999974492</v>
      </c>
      <c r="I29" s="139">
        <f>VLOOKUP(B29,'ADR(30)'!$A$1:$B$30,2,FALSE)</f>
        <v>67</v>
      </c>
      <c r="J29" s="141">
        <f t="shared" si="1"/>
        <v>0.81641791044775747</v>
      </c>
    </row>
    <row r="30" spans="1:10" ht="16.5" customHeight="1" x14ac:dyDescent="0.3">
      <c r="B30" s="38"/>
      <c r="C30" s="38"/>
      <c r="G30" s="43" t="s">
        <v>102</v>
      </c>
    </row>
    <row r="31" spans="1:10" ht="16.5" customHeight="1" x14ac:dyDescent="0.3">
      <c r="B31" s="38"/>
      <c r="C31" s="38"/>
      <c r="G31" s="43">
        <f>'Margin Requirement'!Y2</f>
        <v>0.1</v>
      </c>
    </row>
    <row r="32" spans="1:10" ht="16.5" customHeight="1" x14ac:dyDescent="0.3">
      <c r="B32" s="38"/>
      <c r="C32" s="38"/>
      <c r="D32" s="122"/>
    </row>
    <row r="33" spans="1:4" ht="16.5" customHeight="1" x14ac:dyDescent="0.3">
      <c r="B33" s="38"/>
      <c r="C33" s="38"/>
      <c r="D33" s="122"/>
    </row>
    <row r="36" spans="1:4" ht="16.5" customHeight="1" x14ac:dyDescent="0.3">
      <c r="A36" s="145"/>
    </row>
  </sheetData>
  <mergeCells count="1">
    <mergeCell ref="L5:M5"/>
  </mergeCells>
  <conditionalFormatting sqref="A31">
    <cfRule type="containsText" dxfId="6" priority="10" operator="containsText" text="Pair Specs">
      <formula>NOT(ISERROR(SEARCH("Pair Specs",A31)))</formula>
    </cfRule>
    <cfRule type="containsText" dxfId="5" priority="11" operator="containsText" text="DDE">
      <formula>NOT(ISERROR(SEARCH("DDE",A31)))</formula>
    </cfRule>
  </conditionalFormatting>
  <conditionalFormatting sqref="E2:E29">
    <cfRule type="cellIs" dxfId="4" priority="2" operator="lessThan">
      <formula>$M$7</formula>
    </cfRule>
    <cfRule type="cellIs" dxfId="3" priority="3" operator="greaterThan">
      <formula>$M$6</formula>
    </cfRule>
  </conditionalFormatting>
  <conditionalFormatting sqref="H2:H29">
    <cfRule type="cellIs" dxfId="2" priority="127" operator="lessThan">
      <formula>$M$8</formula>
    </cfRule>
    <cfRule type="cellIs" dxfId="1" priority="128" operator="greaterThan">
      <formula>$M$9</formula>
    </cfRule>
  </conditionalFormatting>
  <conditionalFormatting sqref="J2:J29">
    <cfRule type="cellIs" dxfId="0" priority="1" operator="greaterThan">
      <formula>$M$10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workbookViewId="0">
      <selection activeCell="O37" sqref="O37"/>
    </sheetView>
  </sheetViews>
  <sheetFormatPr defaultRowHeight="14.4" x14ac:dyDescent="0.3"/>
  <sheetData>
    <row r="1" spans="1:2" x14ac:dyDescent="0.3">
      <c r="A1" t="s">
        <v>8</v>
      </c>
      <c r="B1">
        <v>195</v>
      </c>
    </row>
    <row r="2" spans="1:2" x14ac:dyDescent="0.3">
      <c r="A2" t="s">
        <v>7</v>
      </c>
      <c r="B2">
        <v>193</v>
      </c>
    </row>
    <row r="3" spans="1:2" x14ac:dyDescent="0.3">
      <c r="A3" t="s">
        <v>11</v>
      </c>
      <c r="B3">
        <v>180</v>
      </c>
    </row>
    <row r="4" spans="1:2" x14ac:dyDescent="0.3">
      <c r="A4" t="s">
        <v>10</v>
      </c>
      <c r="B4">
        <v>176</v>
      </c>
    </row>
    <row r="5" spans="1:2" x14ac:dyDescent="0.3">
      <c r="A5" t="s">
        <v>14</v>
      </c>
      <c r="B5">
        <v>141</v>
      </c>
    </row>
    <row r="6" spans="1:2" x14ac:dyDescent="0.3">
      <c r="A6" t="s">
        <v>19</v>
      </c>
      <c r="B6">
        <v>133</v>
      </c>
    </row>
    <row r="7" spans="1:2" x14ac:dyDescent="0.3">
      <c r="A7" t="s">
        <v>15</v>
      </c>
      <c r="B7">
        <v>130</v>
      </c>
    </row>
    <row r="8" spans="1:2" x14ac:dyDescent="0.3">
      <c r="A8" t="s">
        <v>12</v>
      </c>
      <c r="B8">
        <v>121</v>
      </c>
    </row>
    <row r="9" spans="1:2" x14ac:dyDescent="0.3">
      <c r="A9" t="s">
        <v>25</v>
      </c>
      <c r="B9">
        <v>114</v>
      </c>
    </row>
    <row r="10" spans="1:2" x14ac:dyDescent="0.3">
      <c r="A10" t="s">
        <v>29</v>
      </c>
      <c r="B10">
        <v>104</v>
      </c>
    </row>
    <row r="11" spans="1:2" x14ac:dyDescent="0.3">
      <c r="A11" t="s">
        <v>20</v>
      </c>
      <c r="B11">
        <v>93</v>
      </c>
    </row>
    <row r="12" spans="1:2" x14ac:dyDescent="0.3">
      <c r="A12" t="s">
        <v>23</v>
      </c>
      <c r="B12">
        <v>88</v>
      </c>
    </row>
    <row r="13" spans="1:2" x14ac:dyDescent="0.3">
      <c r="A13" t="s">
        <v>18</v>
      </c>
      <c r="B13">
        <v>84</v>
      </c>
    </row>
    <row r="14" spans="1:2" x14ac:dyDescent="0.3">
      <c r="A14" t="s">
        <v>21</v>
      </c>
      <c r="B14">
        <v>83</v>
      </c>
    </row>
    <row r="15" spans="1:2" x14ac:dyDescent="0.3">
      <c r="A15" t="s">
        <v>26</v>
      </c>
      <c r="B15">
        <v>82</v>
      </c>
    </row>
    <row r="16" spans="1:2" x14ac:dyDescent="0.3">
      <c r="A16" t="s">
        <v>6</v>
      </c>
      <c r="B16">
        <v>79</v>
      </c>
    </row>
    <row r="17" spans="1:2" x14ac:dyDescent="0.3">
      <c r="A17" t="s">
        <v>24</v>
      </c>
      <c r="B17">
        <v>79</v>
      </c>
    </row>
    <row r="18" spans="1:2" x14ac:dyDescent="0.3">
      <c r="A18" t="s">
        <v>13</v>
      </c>
      <c r="B18">
        <v>78</v>
      </c>
    </row>
    <row r="19" spans="1:2" x14ac:dyDescent="0.3">
      <c r="A19" t="s">
        <v>32</v>
      </c>
      <c r="B19">
        <v>76</v>
      </c>
    </row>
    <row r="20" spans="1:2" x14ac:dyDescent="0.3">
      <c r="A20" t="s">
        <v>22</v>
      </c>
      <c r="B20">
        <v>75</v>
      </c>
    </row>
    <row r="21" spans="1:2" x14ac:dyDescent="0.3">
      <c r="A21" t="s">
        <v>16</v>
      </c>
      <c r="B21">
        <v>72</v>
      </c>
    </row>
    <row r="22" spans="1:2" x14ac:dyDescent="0.3">
      <c r="A22" t="s">
        <v>28</v>
      </c>
      <c r="B22">
        <v>71</v>
      </c>
    </row>
    <row r="23" spans="1:2" x14ac:dyDescent="0.3">
      <c r="A23" t="s">
        <v>31</v>
      </c>
      <c r="B23">
        <v>67</v>
      </c>
    </row>
    <row r="24" spans="1:2" x14ac:dyDescent="0.3">
      <c r="A24" t="s">
        <v>33</v>
      </c>
      <c r="B24">
        <v>67</v>
      </c>
    </row>
    <row r="25" spans="1:2" x14ac:dyDescent="0.3">
      <c r="A25" t="s">
        <v>9</v>
      </c>
      <c r="B25">
        <v>66</v>
      </c>
    </row>
    <row r="26" spans="1:2" x14ac:dyDescent="0.3">
      <c r="A26" t="s">
        <v>27</v>
      </c>
      <c r="B26">
        <v>63</v>
      </c>
    </row>
    <row r="27" spans="1:2" x14ac:dyDescent="0.3">
      <c r="A27" t="s">
        <v>17</v>
      </c>
      <c r="B27">
        <v>60</v>
      </c>
    </row>
    <row r="28" spans="1:2" x14ac:dyDescent="0.3">
      <c r="A28" t="s">
        <v>30</v>
      </c>
      <c r="B28">
        <v>43</v>
      </c>
    </row>
  </sheetData>
  <sortState ref="A1:B28">
    <sortCondition descending="1" ref="B1:B28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C1E9B5-1836-436A-B4CA-27A39CDDF0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Dashboard</vt:lpstr>
      <vt:lpstr>DDE Live Data</vt:lpstr>
      <vt:lpstr>Data Feed</vt:lpstr>
      <vt:lpstr>Pip Values</vt:lpstr>
      <vt:lpstr>Margin Requirement</vt:lpstr>
      <vt:lpstr>Pip Calculator</vt:lpstr>
      <vt:lpstr>Market Range</vt:lpstr>
      <vt:lpstr>ADR(30)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RMS</dc:creator>
  <cp:lastModifiedBy>Shanmugam Ganeshkumar</cp:lastModifiedBy>
  <cp:lastPrinted>2020-05-17T15:22:46Z</cp:lastPrinted>
  <dcterms:created xsi:type="dcterms:W3CDTF">2015-06-05T18:17:20Z</dcterms:created>
  <dcterms:modified xsi:type="dcterms:W3CDTF">2020-06-01T12:09:40Z</dcterms:modified>
</cp:coreProperties>
</file>