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updateLinks="always"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b12fa85d1527a9d0/Trading/Tools/Excel Market Data/"/>
    </mc:Choice>
  </mc:AlternateContent>
  <xr:revisionPtr revIDLastSave="247" documentId="13_ncr:1_{4DCB7450-CED8-4E93-9356-E2B0A2DF91E9}" xr6:coauthVersionLast="45" xr6:coauthVersionMax="45" xr10:uidLastSave="{2DAA236D-4142-402B-941B-F03597F54862}"/>
  <bookViews>
    <workbookView xWindow="-108" yWindow="-108" windowWidth="23256" windowHeight="13176" tabRatio="795" xr2:uid="{00000000-000D-0000-FFFF-FFFF00000000}"/>
  </bookViews>
  <sheets>
    <sheet name="Market Data" sheetId="88" r:id="rId1"/>
    <sheet name="Calculator" sheetId="91" r:id="rId2"/>
    <sheet name="Data - Data Feed Market" sheetId="89" r:id="rId3"/>
    <sheet name="Data - Pip Values" sheetId="90" r:id="rId4"/>
    <sheet name="Data - DDE" sheetId="81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MasterList">#REF!</definedName>
    <definedName name="Analytics">#REF!</definedName>
    <definedName name="Category" localSheetId="3">'[1]Data List'!$Q$2:$Q$10</definedName>
    <definedName name="Category" localSheetId="0">'[1]Data List'!$Q$2:$Q$10</definedName>
    <definedName name="Category">#REF!</definedName>
    <definedName name="Data">#REF!</definedName>
    <definedName name="Indicators">#REF!</definedName>
    <definedName name="Maintenance">#REF!</definedName>
    <definedName name="Sui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2" i="91" l="1"/>
  <c r="D22" i="91" s="1"/>
  <c r="D25" i="91" s="1"/>
  <c r="B19" i="91"/>
  <c r="B25" i="91" l="1"/>
  <c r="C22" i="91"/>
  <c r="C25" i="91" s="1"/>
  <c r="B28" i="91" l="1"/>
  <c r="C28" i="91" s="1"/>
  <c r="J7" i="91" l="1"/>
  <c r="D19" i="91" s="1"/>
  <c r="E19" i="91" s="1"/>
  <c r="G29" i="90" l="1"/>
  <c r="O29" i="90" s="1"/>
  <c r="F29" i="90"/>
  <c r="E29" i="90" s="1"/>
  <c r="C29" i="90"/>
  <c r="I29" i="90" s="1"/>
  <c r="B29" i="90"/>
  <c r="H29" i="90" s="1"/>
  <c r="G28" i="90"/>
  <c r="O28" i="90" s="1"/>
  <c r="F28" i="90"/>
  <c r="E28" i="90"/>
  <c r="C28" i="90"/>
  <c r="I28" i="90" s="1"/>
  <c r="B28" i="90"/>
  <c r="H28" i="90" s="1"/>
  <c r="G27" i="90"/>
  <c r="O27" i="90" s="1"/>
  <c r="F27" i="90"/>
  <c r="E27" i="90" s="1"/>
  <c r="C27" i="90"/>
  <c r="I27" i="90" s="1"/>
  <c r="B27" i="90"/>
  <c r="H27" i="90" s="1"/>
  <c r="G26" i="90"/>
  <c r="O26" i="90" s="1"/>
  <c r="F26" i="90"/>
  <c r="E26" i="90" s="1"/>
  <c r="C26" i="90"/>
  <c r="I26" i="90" s="1"/>
  <c r="B26" i="90"/>
  <c r="H26" i="90" s="1"/>
  <c r="N26" i="90" s="1"/>
  <c r="G25" i="90"/>
  <c r="F25" i="90"/>
  <c r="E25" i="90" s="1"/>
  <c r="C25" i="90"/>
  <c r="I25" i="90" s="1"/>
  <c r="B25" i="90"/>
  <c r="H25" i="90" s="1"/>
  <c r="N25" i="90" s="1"/>
  <c r="G24" i="90"/>
  <c r="F24" i="90"/>
  <c r="E24" i="90" s="1"/>
  <c r="C24" i="90"/>
  <c r="I24" i="90" s="1"/>
  <c r="B24" i="90"/>
  <c r="H24" i="90" s="1"/>
  <c r="N24" i="90" s="1"/>
  <c r="G23" i="90"/>
  <c r="F23" i="90"/>
  <c r="E23" i="90" s="1"/>
  <c r="C23" i="90"/>
  <c r="I23" i="90" s="1"/>
  <c r="B23" i="90"/>
  <c r="H23" i="90" s="1"/>
  <c r="N23" i="90" s="1"/>
  <c r="G22" i="90"/>
  <c r="O22" i="90" s="1"/>
  <c r="F22" i="90"/>
  <c r="E22" i="90" s="1"/>
  <c r="C22" i="90"/>
  <c r="I22" i="90" s="1"/>
  <c r="B22" i="90"/>
  <c r="H22" i="90" s="1"/>
  <c r="N22" i="90" s="1"/>
  <c r="G21" i="90"/>
  <c r="O21" i="90" s="1"/>
  <c r="F21" i="90"/>
  <c r="E21" i="90" s="1"/>
  <c r="C21" i="90"/>
  <c r="I21" i="90" s="1"/>
  <c r="B21" i="90"/>
  <c r="H21" i="90" s="1"/>
  <c r="N21" i="90" s="1"/>
  <c r="G20" i="90"/>
  <c r="F20" i="90"/>
  <c r="E20" i="90"/>
  <c r="C20" i="90"/>
  <c r="I20" i="90" s="1"/>
  <c r="B20" i="90"/>
  <c r="H20" i="90" s="1"/>
  <c r="N20" i="90" s="1"/>
  <c r="G19" i="90"/>
  <c r="F19" i="90"/>
  <c r="E19" i="90"/>
  <c r="C19" i="90"/>
  <c r="I19" i="90" s="1"/>
  <c r="B19" i="90"/>
  <c r="H19" i="90" s="1"/>
  <c r="N19" i="90" s="1"/>
  <c r="G18" i="90"/>
  <c r="O18" i="90" s="1"/>
  <c r="F18" i="90"/>
  <c r="E18" i="90" s="1"/>
  <c r="C18" i="90"/>
  <c r="I18" i="90" s="1"/>
  <c r="B18" i="90"/>
  <c r="H18" i="90" s="1"/>
  <c r="N18" i="90" s="1"/>
  <c r="G17" i="90"/>
  <c r="F17" i="90"/>
  <c r="E17" i="90" s="1"/>
  <c r="C17" i="90"/>
  <c r="I17" i="90" s="1"/>
  <c r="B17" i="90"/>
  <c r="H17" i="90" s="1"/>
  <c r="N17" i="90" s="1"/>
  <c r="G16" i="90"/>
  <c r="O16" i="90" s="1"/>
  <c r="F16" i="90"/>
  <c r="E16" i="90" s="1"/>
  <c r="C16" i="90"/>
  <c r="I16" i="90" s="1"/>
  <c r="B16" i="90"/>
  <c r="H16" i="90" s="1"/>
  <c r="N16" i="90" s="1"/>
  <c r="G15" i="90"/>
  <c r="F15" i="90"/>
  <c r="E15" i="90" s="1"/>
  <c r="C15" i="90"/>
  <c r="I15" i="90" s="1"/>
  <c r="B15" i="90"/>
  <c r="H15" i="90" s="1"/>
  <c r="N15" i="90" s="1"/>
  <c r="G14" i="90"/>
  <c r="F14" i="90"/>
  <c r="E14" i="90" s="1"/>
  <c r="C14" i="90"/>
  <c r="I14" i="90" s="1"/>
  <c r="B14" i="90"/>
  <c r="H14" i="90" s="1"/>
  <c r="N14" i="90" s="1"/>
  <c r="G13" i="90"/>
  <c r="O13" i="90" s="1"/>
  <c r="F13" i="90"/>
  <c r="E13" i="90" s="1"/>
  <c r="C13" i="90"/>
  <c r="I13" i="90" s="1"/>
  <c r="B13" i="90"/>
  <c r="H13" i="90" s="1"/>
  <c r="N13" i="90" s="1"/>
  <c r="G12" i="90"/>
  <c r="F12" i="90"/>
  <c r="E12" i="90"/>
  <c r="C12" i="90"/>
  <c r="I12" i="90" s="1"/>
  <c r="B12" i="90"/>
  <c r="H12" i="90" s="1"/>
  <c r="N12" i="90" s="1"/>
  <c r="G11" i="90"/>
  <c r="F11" i="90"/>
  <c r="E11" i="90"/>
  <c r="C11" i="90"/>
  <c r="I11" i="90" s="1"/>
  <c r="B11" i="90"/>
  <c r="H11" i="90" s="1"/>
  <c r="N11" i="90" s="1"/>
  <c r="G10" i="90"/>
  <c r="O10" i="90" s="1"/>
  <c r="F10" i="90"/>
  <c r="E10" i="90" s="1"/>
  <c r="C10" i="90"/>
  <c r="I10" i="90" s="1"/>
  <c r="B10" i="90"/>
  <c r="H10" i="90" s="1"/>
  <c r="N10" i="90" s="1"/>
  <c r="G9" i="90"/>
  <c r="F9" i="90"/>
  <c r="E9" i="90" s="1"/>
  <c r="C9" i="90"/>
  <c r="I9" i="90" s="1"/>
  <c r="B9" i="90"/>
  <c r="H9" i="90" s="1"/>
  <c r="N9" i="90" s="1"/>
  <c r="G8" i="90"/>
  <c r="F8" i="90"/>
  <c r="E8" i="90" s="1"/>
  <c r="C8" i="90"/>
  <c r="I8" i="90" s="1"/>
  <c r="B8" i="90"/>
  <c r="H8" i="90" s="1"/>
  <c r="N8" i="90" s="1"/>
  <c r="G7" i="90"/>
  <c r="F7" i="90"/>
  <c r="E7" i="90"/>
  <c r="C7" i="90"/>
  <c r="I7" i="90" s="1"/>
  <c r="B7" i="90"/>
  <c r="H7" i="90" s="1"/>
  <c r="N7" i="90" s="1"/>
  <c r="G6" i="90"/>
  <c r="O6" i="90" s="1"/>
  <c r="F6" i="90"/>
  <c r="E6" i="90" s="1"/>
  <c r="C6" i="90"/>
  <c r="I6" i="90" s="1"/>
  <c r="B6" i="90"/>
  <c r="H6" i="90" s="1"/>
  <c r="N6" i="90" s="1"/>
  <c r="G5" i="90"/>
  <c r="O5" i="90" s="1"/>
  <c r="F5" i="90"/>
  <c r="E5" i="90" s="1"/>
  <c r="C5" i="90"/>
  <c r="I5" i="90" s="1"/>
  <c r="B5" i="90"/>
  <c r="H5" i="90" s="1"/>
  <c r="N5" i="90" s="1"/>
  <c r="G4" i="90"/>
  <c r="F4" i="90"/>
  <c r="E4" i="90"/>
  <c r="C4" i="90"/>
  <c r="I4" i="90" s="1"/>
  <c r="B4" i="90"/>
  <c r="H4" i="90" s="1"/>
  <c r="N4" i="90" s="1"/>
  <c r="G3" i="90"/>
  <c r="F3" i="90"/>
  <c r="E3" i="90"/>
  <c r="C3" i="90"/>
  <c r="I3" i="90" s="1"/>
  <c r="B3" i="90"/>
  <c r="H3" i="90" s="1"/>
  <c r="N3" i="90" s="1"/>
  <c r="G2" i="90"/>
  <c r="O2" i="90" s="1"/>
  <c r="F2" i="90"/>
  <c r="E2" i="90" s="1"/>
  <c r="C2" i="90"/>
  <c r="I2" i="90" s="1"/>
  <c r="B2" i="90"/>
  <c r="H2" i="90" s="1"/>
  <c r="N2" i="90" s="1"/>
  <c r="O7" i="90" l="1"/>
  <c r="O15" i="90"/>
  <c r="O23" i="90"/>
  <c r="O4" i="90"/>
  <c r="O12" i="90"/>
  <c r="Q12" i="90" s="1"/>
  <c r="O20" i="90"/>
  <c r="Q20" i="90" s="1"/>
  <c r="O9" i="90"/>
  <c r="O17" i="90"/>
  <c r="O25" i="90"/>
  <c r="O14" i="90"/>
  <c r="O3" i="90"/>
  <c r="O11" i="90"/>
  <c r="O19" i="90"/>
  <c r="O8" i="90"/>
  <c r="Q8" i="90" s="1"/>
  <c r="O24" i="90"/>
  <c r="M18" i="90"/>
  <c r="Q11" i="90"/>
  <c r="M7" i="90"/>
  <c r="M15" i="90"/>
  <c r="M6" i="90"/>
  <c r="L6" i="90"/>
  <c r="Q9" i="90"/>
  <c r="M14" i="90"/>
  <c r="Q17" i="90"/>
  <c r="M22" i="90"/>
  <c r="L22" i="90"/>
  <c r="Q25" i="90"/>
  <c r="Q13" i="90"/>
  <c r="M8" i="90"/>
  <c r="M16" i="90"/>
  <c r="L16" i="90"/>
  <c r="M24" i="90"/>
  <c r="Q18" i="90"/>
  <c r="M23" i="90"/>
  <c r="Q26" i="90"/>
  <c r="R26" i="90" s="1"/>
  <c r="P26" i="90"/>
  <c r="M2" i="90"/>
  <c r="M3" i="90"/>
  <c r="M4" i="90"/>
  <c r="M5" i="90"/>
  <c r="M13" i="90"/>
  <c r="Q16" i="90"/>
  <c r="R16" i="90" s="1"/>
  <c r="P16" i="90"/>
  <c r="M21" i="90"/>
  <c r="Q24" i="90"/>
  <c r="M29" i="90"/>
  <c r="Q2" i="90"/>
  <c r="Q5" i="90"/>
  <c r="M10" i="90"/>
  <c r="M9" i="90"/>
  <c r="M17" i="90"/>
  <c r="Q19" i="90"/>
  <c r="Q10" i="90"/>
  <c r="Q7" i="90"/>
  <c r="M12" i="90"/>
  <c r="Q15" i="90"/>
  <c r="M20" i="90"/>
  <c r="Q23" i="90"/>
  <c r="M28" i="90"/>
  <c r="Q6" i="90"/>
  <c r="R6" i="90" s="1"/>
  <c r="P6" i="90"/>
  <c r="M11" i="90"/>
  <c r="Q14" i="90"/>
  <c r="M19" i="90"/>
  <c r="Q22" i="90"/>
  <c r="R22" i="90" s="1"/>
  <c r="P22" i="90"/>
  <c r="M27" i="90"/>
  <c r="Q4" i="90"/>
  <c r="Q21" i="90"/>
  <c r="M26" i="90"/>
  <c r="L26" i="90"/>
  <c r="Q29" i="90"/>
  <c r="R29" i="90" s="1"/>
  <c r="P29" i="90"/>
  <c r="M25" i="90"/>
  <c r="Q28" i="90"/>
  <c r="R28" i="90" s="1"/>
  <c r="P28" i="90"/>
  <c r="Q3" i="90"/>
  <c r="Q27" i="90"/>
  <c r="R27" i="90" s="1"/>
  <c r="P27" i="90"/>
  <c r="I29" i="81"/>
  <c r="I28" i="81"/>
  <c r="I27" i="81"/>
  <c r="I26" i="81"/>
  <c r="I25" i="81"/>
  <c r="I24" i="81"/>
  <c r="I23" i="81"/>
  <c r="I22" i="81"/>
  <c r="I21" i="81"/>
  <c r="I20" i="81"/>
  <c r="I19" i="81"/>
  <c r="I18" i="81"/>
  <c r="I17" i="81"/>
  <c r="I16" i="81"/>
  <c r="I15" i="81"/>
  <c r="I14" i="81"/>
  <c r="I13" i="81"/>
  <c r="I12" i="81"/>
  <c r="I11" i="81"/>
  <c r="I10" i="81"/>
  <c r="I9" i="81"/>
  <c r="I8" i="81"/>
  <c r="I7" i="81"/>
  <c r="I6" i="81"/>
  <c r="I5" i="81"/>
  <c r="I4" i="81"/>
  <c r="I3" i="81"/>
  <c r="I2" i="81"/>
  <c r="H29" i="81"/>
  <c r="H28" i="81"/>
  <c r="H27" i="81"/>
  <c r="H26" i="81"/>
  <c r="H25" i="81"/>
  <c r="H24" i="81"/>
  <c r="H23" i="81"/>
  <c r="H22" i="81"/>
  <c r="H21" i="81"/>
  <c r="H20" i="81"/>
  <c r="H19" i="81"/>
  <c r="H18" i="81"/>
  <c r="H17" i="81"/>
  <c r="H16" i="81"/>
  <c r="H15" i="81"/>
  <c r="H14" i="81"/>
  <c r="H13" i="81"/>
  <c r="H12" i="81"/>
  <c r="H11" i="81"/>
  <c r="H10" i="81"/>
  <c r="H9" i="81"/>
  <c r="H8" i="81"/>
  <c r="H7" i="81"/>
  <c r="H6" i="81"/>
  <c r="H5" i="81"/>
  <c r="H4" i="81"/>
  <c r="H3" i="81"/>
  <c r="H2" i="81"/>
  <c r="J12" i="89" l="1"/>
  <c r="L16" i="88" s="1"/>
  <c r="K12" i="89"/>
  <c r="T16" i="88" s="1"/>
  <c r="K16" i="89"/>
  <c r="T6" i="88" s="1"/>
  <c r="J16" i="89"/>
  <c r="L6" i="88" s="1"/>
  <c r="J26" i="89"/>
  <c r="L12" i="88" s="1"/>
  <c r="K26" i="89"/>
  <c r="T12" i="88" s="1"/>
  <c r="J27" i="89"/>
  <c r="L11" i="88" s="1"/>
  <c r="K7" i="89"/>
  <c r="T33" i="88" s="1"/>
  <c r="J7" i="89"/>
  <c r="L33" i="88" s="1"/>
  <c r="K27" i="89"/>
  <c r="T11" i="88" s="1"/>
  <c r="J24" i="89"/>
  <c r="L32" i="88" s="1"/>
  <c r="K28" i="89"/>
  <c r="T7" i="88" s="1"/>
  <c r="J28" i="89"/>
  <c r="L7" i="88" s="1"/>
  <c r="K24" i="89"/>
  <c r="T32" i="88" s="1"/>
  <c r="K22" i="89"/>
  <c r="T8" i="88" s="1"/>
  <c r="K23" i="89"/>
  <c r="T31" i="88" s="1"/>
  <c r="J18" i="89"/>
  <c r="L19" i="88" s="1"/>
  <c r="J22" i="89"/>
  <c r="L8" i="88" s="1"/>
  <c r="K18" i="89"/>
  <c r="T19" i="88" s="1"/>
  <c r="J23" i="89"/>
  <c r="L31" i="88" s="1"/>
  <c r="K6" i="89"/>
  <c r="T10" i="88" s="1"/>
  <c r="J3" i="89"/>
  <c r="L29" i="88" s="1"/>
  <c r="J11" i="89"/>
  <c r="L15" i="88" s="1"/>
  <c r="J10" i="89"/>
  <c r="L14" i="88" s="1"/>
  <c r="J13" i="89"/>
  <c r="L13" i="88" s="1"/>
  <c r="K10" i="89"/>
  <c r="T14" i="88" s="1"/>
  <c r="J6" i="89"/>
  <c r="L10" i="88" s="1"/>
  <c r="K3" i="89"/>
  <c r="T29" i="88" s="1"/>
  <c r="K11" i="89"/>
  <c r="T15" i="88" s="1"/>
  <c r="K13" i="89"/>
  <c r="T13" i="88" s="1"/>
  <c r="J5" i="89"/>
  <c r="L30" i="88" s="1"/>
  <c r="K5" i="89"/>
  <c r="T30" i="88" s="1"/>
  <c r="J2" i="89"/>
  <c r="L28" i="88" s="1"/>
  <c r="K17" i="89"/>
  <c r="T18" i="88" s="1"/>
  <c r="K2" i="89"/>
  <c r="T28" i="88" s="1"/>
  <c r="J15" i="89"/>
  <c r="L17" i="88" s="1"/>
  <c r="K15" i="89"/>
  <c r="T17" i="88" s="1"/>
  <c r="J17" i="89"/>
  <c r="L18" i="88" s="1"/>
  <c r="J19" i="89"/>
  <c r="L20" i="88" s="1"/>
  <c r="K19" i="89"/>
  <c r="T20" i="88" s="1"/>
  <c r="K14" i="89"/>
  <c r="T22" i="88" s="1"/>
  <c r="J4" i="89"/>
  <c r="L24" i="88" s="1"/>
  <c r="J20" i="89"/>
  <c r="L23" i="88" s="1"/>
  <c r="K8" i="89"/>
  <c r="T26" i="88" s="1"/>
  <c r="J21" i="89"/>
  <c r="L21" i="88" s="1"/>
  <c r="J29" i="89"/>
  <c r="L9" i="88" s="1"/>
  <c r="K25" i="89"/>
  <c r="T25" i="88" s="1"/>
  <c r="J14" i="89"/>
  <c r="L22" i="88" s="1"/>
  <c r="J8" i="89"/>
  <c r="L26" i="88" s="1"/>
  <c r="K4" i="89"/>
  <c r="T24" i="88" s="1"/>
  <c r="K20" i="89"/>
  <c r="T23" i="88" s="1"/>
  <c r="J25" i="89"/>
  <c r="L25" i="88" s="1"/>
  <c r="K21" i="89"/>
  <c r="T21" i="88" s="1"/>
  <c r="K29" i="89"/>
  <c r="T9" i="88" s="1"/>
  <c r="K9" i="89"/>
  <c r="T27" i="88" s="1"/>
  <c r="J9" i="89"/>
  <c r="L27" i="88" s="1"/>
  <c r="P24" i="88" l="1"/>
  <c r="P21" i="88"/>
  <c r="P23" i="88"/>
  <c r="P9" i="88"/>
  <c r="P31" i="88"/>
  <c r="P17" i="88"/>
  <c r="P20" i="88"/>
  <c r="P30" i="88"/>
  <c r="P12" i="88"/>
  <c r="P33" i="88"/>
  <c r="P13" i="88"/>
  <c r="P15" i="88"/>
  <c r="P18" i="88"/>
  <c r="P11" i="88"/>
  <c r="P28" i="88"/>
  <c r="P19" i="88"/>
  <c r="P16" i="88"/>
  <c r="P27" i="88"/>
  <c r="P25" i="88"/>
  <c r="P8" i="88"/>
  <c r="P32" i="88"/>
  <c r="P10" i="88"/>
  <c r="P26" i="88"/>
  <c r="P29" i="88"/>
  <c r="P7" i="88"/>
  <c r="P14" i="88"/>
  <c r="P22" i="88"/>
  <c r="P6" i="88"/>
  <c r="D29" i="81" l="1"/>
  <c r="D29" i="89" s="1"/>
  <c r="C29" i="81"/>
  <c r="C29" i="89" s="1"/>
  <c r="B29" i="81"/>
  <c r="D28" i="81"/>
  <c r="D28" i="89" s="1"/>
  <c r="C28" i="81"/>
  <c r="C28" i="89" s="1"/>
  <c r="B28" i="81"/>
  <c r="D27" i="81"/>
  <c r="D27" i="89" s="1"/>
  <c r="C27" i="81"/>
  <c r="C27" i="89" s="1"/>
  <c r="B27" i="81"/>
  <c r="D26" i="81"/>
  <c r="D26" i="89" s="1"/>
  <c r="C26" i="81"/>
  <c r="C26" i="89" s="1"/>
  <c r="B26" i="81"/>
  <c r="D25" i="81"/>
  <c r="D25" i="89" s="1"/>
  <c r="C25" i="81"/>
  <c r="C25" i="89" s="1"/>
  <c r="B25" i="81"/>
  <c r="D24" i="81"/>
  <c r="D24" i="89" s="1"/>
  <c r="C24" i="81"/>
  <c r="C24" i="89" s="1"/>
  <c r="B24" i="81"/>
  <c r="D23" i="81"/>
  <c r="D23" i="89" s="1"/>
  <c r="C23" i="81"/>
  <c r="C23" i="89" s="1"/>
  <c r="B23" i="81"/>
  <c r="D22" i="81"/>
  <c r="D22" i="89" s="1"/>
  <c r="C22" i="81"/>
  <c r="C22" i="89" s="1"/>
  <c r="B22" i="81"/>
  <c r="D21" i="81"/>
  <c r="D21" i="89" s="1"/>
  <c r="C21" i="81"/>
  <c r="C21" i="89" s="1"/>
  <c r="B21" i="81"/>
  <c r="D20" i="81"/>
  <c r="D20" i="89" s="1"/>
  <c r="C20" i="81"/>
  <c r="C20" i="89" s="1"/>
  <c r="B20" i="81"/>
  <c r="D19" i="81"/>
  <c r="D19" i="89" s="1"/>
  <c r="C19" i="81"/>
  <c r="C19" i="89" s="1"/>
  <c r="B19" i="81"/>
  <c r="D18" i="81"/>
  <c r="D18" i="89" s="1"/>
  <c r="C18" i="81"/>
  <c r="C18" i="89" s="1"/>
  <c r="B18" i="81"/>
  <c r="D17" i="81"/>
  <c r="D17" i="89" s="1"/>
  <c r="C17" i="81"/>
  <c r="C17" i="89" s="1"/>
  <c r="B17" i="81"/>
  <c r="D16" i="81"/>
  <c r="D16" i="89" s="1"/>
  <c r="C16" i="81"/>
  <c r="C16" i="89" s="1"/>
  <c r="B16" i="81"/>
  <c r="D15" i="81"/>
  <c r="D15" i="89" s="1"/>
  <c r="C15" i="81"/>
  <c r="C15" i="89" s="1"/>
  <c r="B15" i="81"/>
  <c r="D14" i="81"/>
  <c r="D14" i="89" s="1"/>
  <c r="C14" i="81"/>
  <c r="C14" i="89" s="1"/>
  <c r="B14" i="81"/>
  <c r="D13" i="81"/>
  <c r="D13" i="89" s="1"/>
  <c r="C13" i="81"/>
  <c r="C13" i="89" s="1"/>
  <c r="B13" i="81"/>
  <c r="D12" i="81"/>
  <c r="D12" i="89" s="1"/>
  <c r="C12" i="81"/>
  <c r="C12" i="89" s="1"/>
  <c r="B12" i="81"/>
  <c r="D11" i="81"/>
  <c r="D11" i="89" s="1"/>
  <c r="C11" i="81"/>
  <c r="C11" i="89" s="1"/>
  <c r="B11" i="81"/>
  <c r="D10" i="81"/>
  <c r="D10" i="89" s="1"/>
  <c r="C10" i="81"/>
  <c r="C10" i="89" s="1"/>
  <c r="B10" i="81"/>
  <c r="D9" i="81"/>
  <c r="D9" i="89" s="1"/>
  <c r="C9" i="81"/>
  <c r="C9" i="89" s="1"/>
  <c r="B9" i="81"/>
  <c r="D8" i="81"/>
  <c r="D8" i="89" s="1"/>
  <c r="C8" i="81"/>
  <c r="C8" i="89" s="1"/>
  <c r="B8" i="81"/>
  <c r="D7" i="81"/>
  <c r="D7" i="89" s="1"/>
  <c r="C7" i="81"/>
  <c r="C7" i="89" s="1"/>
  <c r="B7" i="81"/>
  <c r="D6" i="81"/>
  <c r="D6" i="89" s="1"/>
  <c r="C6" i="81"/>
  <c r="C6" i="89" s="1"/>
  <c r="B6" i="81"/>
  <c r="D5" i="81"/>
  <c r="D5" i="89" s="1"/>
  <c r="C5" i="81"/>
  <c r="C5" i="89" s="1"/>
  <c r="B5" i="81"/>
  <c r="D4" i="81"/>
  <c r="D4" i="89" s="1"/>
  <c r="C4" i="81"/>
  <c r="C4" i="89" s="1"/>
  <c r="B4" i="81"/>
  <c r="D3" i="81"/>
  <c r="D3" i="89" s="1"/>
  <c r="C3" i="81"/>
  <c r="C3" i="89" s="1"/>
  <c r="B3" i="81"/>
  <c r="D2" i="81"/>
  <c r="D2" i="89" s="1"/>
  <c r="J3" i="91" s="1"/>
  <c r="C2" i="81"/>
  <c r="C2" i="89" s="1"/>
  <c r="J4" i="91" s="1"/>
  <c r="B2" i="81"/>
  <c r="D28" i="91" l="1"/>
  <c r="E28" i="91" s="1"/>
  <c r="F9" i="91" s="1"/>
  <c r="E22" i="91"/>
  <c r="B4" i="89"/>
  <c r="W24" i="88" s="1"/>
  <c r="K6" i="90"/>
  <c r="J9" i="90"/>
  <c r="B12" i="89"/>
  <c r="W16" i="88" s="1"/>
  <c r="K14" i="90"/>
  <c r="J17" i="90"/>
  <c r="B20" i="89"/>
  <c r="W23" i="88" s="1"/>
  <c r="K22" i="90"/>
  <c r="J25" i="90"/>
  <c r="B28" i="89"/>
  <c r="W7" i="88" s="1"/>
  <c r="K16" i="90"/>
  <c r="B9" i="89"/>
  <c r="W27" i="88" s="1"/>
  <c r="K19" i="90"/>
  <c r="J12" i="90"/>
  <c r="K25" i="90"/>
  <c r="J7" i="90"/>
  <c r="B10" i="89"/>
  <c r="W14" i="88" s="1"/>
  <c r="K12" i="90"/>
  <c r="J15" i="90"/>
  <c r="B18" i="89"/>
  <c r="W19" i="88" s="1"/>
  <c r="K20" i="90"/>
  <c r="J23" i="90"/>
  <c r="B26" i="89"/>
  <c r="W12" i="88" s="1"/>
  <c r="K28" i="90"/>
  <c r="J3" i="90"/>
  <c r="B14" i="89"/>
  <c r="W22" i="88" s="1"/>
  <c r="J6" i="90"/>
  <c r="J14" i="90"/>
  <c r="B25" i="89"/>
  <c r="W25" i="88" s="1"/>
  <c r="J4" i="90"/>
  <c r="B15" i="89"/>
  <c r="W17" i="88" s="1"/>
  <c r="J20" i="90"/>
  <c r="B2" i="89"/>
  <c r="W28" i="88" s="1"/>
  <c r="B5" i="89"/>
  <c r="W30" i="88" s="1"/>
  <c r="J10" i="90"/>
  <c r="B13" i="89"/>
  <c r="W13" i="88" s="1"/>
  <c r="K15" i="90"/>
  <c r="J18" i="90"/>
  <c r="B21" i="89"/>
  <c r="W21" i="88" s="1"/>
  <c r="K23" i="90"/>
  <c r="J26" i="90"/>
  <c r="B29" i="89"/>
  <c r="W9" i="88" s="1"/>
  <c r="J19" i="90"/>
  <c r="K11" i="90"/>
  <c r="J22" i="90"/>
  <c r="K9" i="90"/>
  <c r="B23" i="89"/>
  <c r="W31" i="88" s="1"/>
  <c r="K4" i="90"/>
  <c r="J2" i="90"/>
  <c r="K7" i="90"/>
  <c r="K2" i="90"/>
  <c r="J5" i="90"/>
  <c r="B8" i="89"/>
  <c r="W26" i="88" s="1"/>
  <c r="K10" i="90"/>
  <c r="J13" i="90"/>
  <c r="B16" i="89"/>
  <c r="W6" i="88" s="1"/>
  <c r="K18" i="90"/>
  <c r="J21" i="90"/>
  <c r="B24" i="89"/>
  <c r="W32" i="88" s="1"/>
  <c r="K26" i="90"/>
  <c r="J29" i="90"/>
  <c r="B6" i="89"/>
  <c r="W10" i="88" s="1"/>
  <c r="J11" i="90"/>
  <c r="E3" i="81"/>
  <c r="K3" i="90"/>
  <c r="B17" i="89"/>
  <c r="W18" i="88" s="1"/>
  <c r="K27" i="90"/>
  <c r="B7" i="89"/>
  <c r="W33" i="88" s="1"/>
  <c r="K17" i="90"/>
  <c r="J28" i="90"/>
  <c r="B3" i="89"/>
  <c r="W29" i="88" s="1"/>
  <c r="K5" i="90"/>
  <c r="J8" i="90"/>
  <c r="B11" i="89"/>
  <c r="W15" i="88" s="1"/>
  <c r="K13" i="90"/>
  <c r="J16" i="90"/>
  <c r="B19" i="89"/>
  <c r="W20" i="88" s="1"/>
  <c r="K21" i="90"/>
  <c r="J24" i="90"/>
  <c r="B27" i="89"/>
  <c r="W11" i="88" s="1"/>
  <c r="K29" i="90"/>
  <c r="K8" i="90"/>
  <c r="B22" i="89"/>
  <c r="W8" i="88" s="1"/>
  <c r="K24" i="90"/>
  <c r="J27" i="90"/>
  <c r="G28" i="81"/>
  <c r="F26" i="81"/>
  <c r="G12" i="81"/>
  <c r="G3" i="81"/>
  <c r="G13" i="81"/>
  <c r="G29" i="81"/>
  <c r="G27" i="81"/>
  <c r="G11" i="81"/>
  <c r="G19" i="81"/>
  <c r="G18" i="81"/>
  <c r="G5" i="81"/>
  <c r="G14" i="81"/>
  <c r="G21" i="81"/>
  <c r="E5" i="81"/>
  <c r="G6" i="81"/>
  <c r="G17" i="81"/>
  <c r="G7" i="81"/>
  <c r="G16" i="81"/>
  <c r="G24" i="81"/>
  <c r="F29" i="81"/>
  <c r="G10" i="81"/>
  <c r="F5" i="81"/>
  <c r="E4" i="81"/>
  <c r="E2" i="81"/>
  <c r="G8" i="81"/>
  <c r="F27" i="81"/>
  <c r="F22" i="81"/>
  <c r="F2" i="81"/>
  <c r="F10" i="81"/>
  <c r="G15" i="81"/>
  <c r="G20" i="81"/>
  <c r="G22" i="81"/>
  <c r="G25" i="81"/>
  <c r="F13" i="81"/>
  <c r="G23" i="81"/>
  <c r="E28" i="81"/>
  <c r="G4" i="81"/>
  <c r="G9" i="81"/>
  <c r="F14" i="81"/>
  <c r="F3" i="81"/>
  <c r="E10" i="81"/>
  <c r="F17" i="81"/>
  <c r="E8" i="81"/>
  <c r="F25" i="81"/>
  <c r="F9" i="81"/>
  <c r="F21" i="81"/>
  <c r="E6" i="81"/>
  <c r="E9" i="81"/>
  <c r="G26" i="81"/>
  <c r="F4" i="81"/>
  <c r="G2" i="81"/>
  <c r="F6" i="81"/>
  <c r="F8" i="81"/>
  <c r="E12" i="81"/>
  <c r="E16" i="81"/>
  <c r="E20" i="81"/>
  <c r="E24" i="81"/>
  <c r="F12" i="81"/>
  <c r="E14" i="81"/>
  <c r="F16" i="81"/>
  <c r="F18" i="81"/>
  <c r="F20" i="81"/>
  <c r="E22" i="81"/>
  <c r="F24" i="81"/>
  <c r="E26" i="81"/>
  <c r="F28" i="81"/>
  <c r="F7" i="81"/>
  <c r="F11" i="81"/>
  <c r="E13" i="81"/>
  <c r="F15" i="81"/>
  <c r="E17" i="81"/>
  <c r="F19" i="81"/>
  <c r="E21" i="81"/>
  <c r="F23" i="81"/>
  <c r="E25" i="81"/>
  <c r="E29" i="81"/>
  <c r="E7" i="81"/>
  <c r="E11" i="81"/>
  <c r="E15" i="81"/>
  <c r="E19" i="81"/>
  <c r="E23" i="81"/>
  <c r="E27" i="81"/>
  <c r="E18" i="81"/>
  <c r="P13" i="90" l="1"/>
  <c r="R13" i="90" s="1"/>
  <c r="L13" i="90" s="1"/>
  <c r="N29" i="90"/>
  <c r="P25" i="90"/>
  <c r="R25" i="90" s="1"/>
  <c r="L25" i="90" s="1"/>
  <c r="P9" i="90"/>
  <c r="R9" i="90" s="1"/>
  <c r="L9" i="90" s="1"/>
  <c r="P8" i="90"/>
  <c r="R8" i="90" s="1"/>
  <c r="L8" i="90" s="1"/>
  <c r="L29" i="90"/>
  <c r="P4" i="90"/>
  <c r="R4" i="90" s="1"/>
  <c r="L4" i="90" s="1"/>
  <c r="P20" i="90"/>
  <c r="R20" i="90" s="1"/>
  <c r="L20" i="90" s="1"/>
  <c r="P14" i="90"/>
  <c r="R14" i="90" s="1"/>
  <c r="L14" i="90" s="1"/>
  <c r="N28" i="90"/>
  <c r="P7" i="90"/>
  <c r="R7" i="90" s="1"/>
  <c r="L7" i="90" s="1"/>
  <c r="L28" i="90"/>
  <c r="P24" i="90"/>
  <c r="R24" i="90" s="1"/>
  <c r="L24" i="90" s="1"/>
  <c r="P3" i="90"/>
  <c r="R3" i="90" s="1"/>
  <c r="L3" i="90" s="1"/>
  <c r="P12" i="90"/>
  <c r="R12" i="90" s="1"/>
  <c r="L12" i="90" s="1"/>
  <c r="P19" i="90"/>
  <c r="R19" i="90" s="1"/>
  <c r="L19" i="90" s="1"/>
  <c r="P21" i="90"/>
  <c r="R21" i="90" s="1"/>
  <c r="L21" i="90" s="1"/>
  <c r="P5" i="90"/>
  <c r="R5" i="90" s="1"/>
  <c r="L5" i="90" s="1"/>
  <c r="P15" i="90"/>
  <c r="R15" i="90" s="1"/>
  <c r="L15" i="90" s="1"/>
  <c r="P23" i="90"/>
  <c r="R23" i="90" s="1"/>
  <c r="L23" i="90" s="1"/>
  <c r="N27" i="90"/>
  <c r="P18" i="90"/>
  <c r="R18" i="90" s="1"/>
  <c r="L18" i="90" s="1"/>
  <c r="L27" i="90"/>
  <c r="P11" i="90"/>
  <c r="R11" i="90" s="1"/>
  <c r="L11" i="90" s="1"/>
  <c r="P2" i="90"/>
  <c r="R2" i="90" s="1"/>
  <c r="L2" i="90" s="1"/>
  <c r="F2" i="91" s="1"/>
  <c r="P10" i="90"/>
  <c r="R10" i="90" s="1"/>
  <c r="L10" i="90" s="1"/>
  <c r="P17" i="90"/>
  <c r="R17" i="90" s="1"/>
  <c r="L17" i="90" s="1"/>
  <c r="F15" i="88"/>
  <c r="I11" i="89"/>
  <c r="J28" i="88"/>
  <c r="F2" i="89"/>
  <c r="E2" i="89"/>
  <c r="I28" i="88" s="1"/>
  <c r="F14" i="88"/>
  <c r="I10" i="89"/>
  <c r="J13" i="88"/>
  <c r="F13" i="89"/>
  <c r="E13" i="89"/>
  <c r="I13" i="88" s="1"/>
  <c r="J12" i="88"/>
  <c r="F26" i="89"/>
  <c r="E26" i="89"/>
  <c r="I12" i="88" s="1"/>
  <c r="I5" i="89"/>
  <c r="F30" i="88"/>
  <c r="J24" i="88"/>
  <c r="E4" i="89"/>
  <c r="I24" i="88" s="1"/>
  <c r="F4" i="89"/>
  <c r="J15" i="88"/>
  <c r="F11" i="89"/>
  <c r="E11" i="89"/>
  <c r="I15" i="88" s="1"/>
  <c r="J31" i="88"/>
  <c r="F23" i="89"/>
  <c r="E23" i="89"/>
  <c r="I31" i="88" s="1"/>
  <c r="F23" i="88"/>
  <c r="I20" i="89"/>
  <c r="F22" i="88"/>
  <c r="I14" i="89"/>
  <c r="J7" i="88"/>
  <c r="E28" i="89"/>
  <c r="I7" i="88" s="1"/>
  <c r="F28" i="89"/>
  <c r="F33" i="88"/>
  <c r="I7" i="89"/>
  <c r="J8" i="88"/>
  <c r="F22" i="89"/>
  <c r="E22" i="89"/>
  <c r="I8" i="88" s="1"/>
  <c r="F20" i="88"/>
  <c r="I19" i="89"/>
  <c r="F10" i="88"/>
  <c r="I6" i="89"/>
  <c r="J25" i="88"/>
  <c r="F25" i="89"/>
  <c r="E25" i="89"/>
  <c r="I25" i="88" s="1"/>
  <c r="F32" i="88"/>
  <c r="I24" i="89"/>
  <c r="J32" i="88"/>
  <c r="F24" i="89"/>
  <c r="E24" i="89"/>
  <c r="I32" i="88" s="1"/>
  <c r="I16" i="89"/>
  <c r="F6" i="88"/>
  <c r="J30" i="88"/>
  <c r="F5" i="89"/>
  <c r="E5" i="89"/>
  <c r="I30" i="88" s="1"/>
  <c r="F27" i="88"/>
  <c r="I9" i="89"/>
  <c r="J11" i="88"/>
  <c r="F27" i="89"/>
  <c r="E27" i="89"/>
  <c r="I11" i="88" s="1"/>
  <c r="I21" i="89"/>
  <c r="F21" i="88"/>
  <c r="J14" i="88"/>
  <c r="F10" i="89"/>
  <c r="E10" i="89"/>
  <c r="I14" i="88" s="1"/>
  <c r="J33" i="88"/>
  <c r="F7" i="89"/>
  <c r="E7" i="89"/>
  <c r="I33" i="88" s="1"/>
  <c r="J27" i="88"/>
  <c r="E9" i="89"/>
  <c r="I27" i="88" s="1"/>
  <c r="F9" i="89"/>
  <c r="F19" i="88"/>
  <c r="I18" i="89"/>
  <c r="F24" i="88"/>
  <c r="I4" i="89"/>
  <c r="F31" i="88"/>
  <c r="I23" i="89"/>
  <c r="J16" i="88"/>
  <c r="E12" i="89"/>
  <c r="I16" i="88" s="1"/>
  <c r="F12" i="89"/>
  <c r="F16" i="88"/>
  <c r="I12" i="89"/>
  <c r="F18" i="88"/>
  <c r="I17" i="89"/>
  <c r="J10" i="88"/>
  <c r="F6" i="89"/>
  <c r="E6" i="89"/>
  <c r="I10" i="88" s="1"/>
  <c r="J6" i="88"/>
  <c r="E16" i="89"/>
  <c r="F16" i="89"/>
  <c r="J26" i="88"/>
  <c r="E8" i="89"/>
  <c r="I26" i="88" s="1"/>
  <c r="F8" i="89"/>
  <c r="J21" i="88"/>
  <c r="E21" i="89"/>
  <c r="I21" i="88" s="1"/>
  <c r="F21" i="89"/>
  <c r="F7" i="88"/>
  <c r="I28" i="89"/>
  <c r="F17" i="88"/>
  <c r="I15" i="89"/>
  <c r="F9" i="88"/>
  <c r="I29" i="89"/>
  <c r="J19" i="88"/>
  <c r="E18" i="89"/>
  <c r="I19" i="88" s="1"/>
  <c r="F18" i="89"/>
  <c r="F28" i="88"/>
  <c r="I2" i="89"/>
  <c r="F8" i="88"/>
  <c r="I22" i="89"/>
  <c r="F12" i="88"/>
  <c r="I26" i="89"/>
  <c r="J17" i="88"/>
  <c r="F15" i="89"/>
  <c r="E15" i="89"/>
  <c r="I17" i="88" s="1"/>
  <c r="F29" i="88"/>
  <c r="I3" i="89"/>
  <c r="J23" i="88"/>
  <c r="E20" i="89"/>
  <c r="I23" i="88" s="1"/>
  <c r="F20" i="89"/>
  <c r="J20" i="88"/>
  <c r="F19" i="89"/>
  <c r="E19" i="89"/>
  <c r="I20" i="88" s="1"/>
  <c r="F25" i="88"/>
  <c r="I25" i="89"/>
  <c r="J22" i="88"/>
  <c r="F14" i="89"/>
  <c r="E14" i="89"/>
  <c r="I22" i="88" s="1"/>
  <c r="F13" i="88"/>
  <c r="I13" i="89"/>
  <c r="F11" i="88"/>
  <c r="I27" i="89"/>
  <c r="J9" i="88"/>
  <c r="F29" i="89"/>
  <c r="E29" i="89"/>
  <c r="I9" i="88" s="1"/>
  <c r="F26" i="88"/>
  <c r="I8" i="89"/>
  <c r="J18" i="88"/>
  <c r="E17" i="89"/>
  <c r="I18" i="88" s="1"/>
  <c r="F17" i="89"/>
  <c r="J29" i="88"/>
  <c r="F3" i="89"/>
  <c r="E3" i="89"/>
  <c r="I29" i="88" s="1"/>
  <c r="I6" i="88" l="1"/>
  <c r="J5" i="91"/>
  <c r="G12" i="88"/>
  <c r="M12" i="88" s="1"/>
  <c r="N12" i="88" s="1"/>
  <c r="O12" i="88" s="1"/>
  <c r="G31" i="88"/>
  <c r="M31" i="88" s="1"/>
  <c r="N31" i="88" s="1"/>
  <c r="O31" i="88" s="1"/>
  <c r="G7" i="88"/>
  <c r="M7" i="88" s="1"/>
  <c r="N7" i="88" s="1"/>
  <c r="O7" i="88" s="1"/>
  <c r="H18" i="88"/>
  <c r="H28" i="88"/>
  <c r="G8" i="88"/>
  <c r="G11" i="88"/>
  <c r="G25" i="88"/>
  <c r="G13" i="88"/>
  <c r="G29" i="88"/>
  <c r="G21" i="88"/>
  <c r="G33" i="88"/>
  <c r="G14" i="88"/>
  <c r="G28" i="88"/>
  <c r="G17" i="88"/>
  <c r="H13" i="88"/>
  <c r="G9" i="88"/>
  <c r="G19" i="88"/>
  <c r="G27" i="88"/>
  <c r="G23" i="88"/>
  <c r="G6" i="88"/>
  <c r="G10" i="88"/>
  <c r="G30" i="88"/>
  <c r="G18" i="88"/>
  <c r="G20" i="88"/>
  <c r="G26" i="88"/>
  <c r="G24" i="88"/>
  <c r="G32" i="88"/>
  <c r="G16" i="88"/>
  <c r="G22" i="88"/>
  <c r="G15" i="88"/>
  <c r="S12" i="88" l="1"/>
  <c r="R12" i="88" s="1"/>
  <c r="Q12" i="88" s="1"/>
  <c r="S31" i="88"/>
  <c r="R31" i="88" s="1"/>
  <c r="Q31" i="88" s="1"/>
  <c r="S7" i="88"/>
  <c r="R7" i="88" s="1"/>
  <c r="Q7" i="88" s="1"/>
  <c r="H6" i="88"/>
  <c r="I36" i="88"/>
  <c r="I37" i="88"/>
  <c r="H22" i="88"/>
  <c r="S16" i="88"/>
  <c r="R16" i="88" s="1"/>
  <c r="Q16" i="88" s="1"/>
  <c r="M16" i="88"/>
  <c r="N16" i="88" s="1"/>
  <c r="O16" i="88" s="1"/>
  <c r="S33" i="88"/>
  <c r="R33" i="88" s="1"/>
  <c r="Q33" i="88" s="1"/>
  <c r="M33" i="88"/>
  <c r="N33" i="88" s="1"/>
  <c r="O33" i="88" s="1"/>
  <c r="M21" i="88"/>
  <c r="N21" i="88" s="1"/>
  <c r="O21" i="88" s="1"/>
  <c r="S21" i="88"/>
  <c r="R21" i="88" s="1"/>
  <c r="Q21" i="88" s="1"/>
  <c r="M27" i="88"/>
  <c r="N27" i="88" s="1"/>
  <c r="O27" i="88" s="1"/>
  <c r="S27" i="88"/>
  <c r="R27" i="88" s="1"/>
  <c r="Q27" i="88" s="1"/>
  <c r="M32" i="88"/>
  <c r="N32" i="88" s="1"/>
  <c r="O32" i="88" s="1"/>
  <c r="S32" i="88"/>
  <c r="R32" i="88" s="1"/>
  <c r="Q32" i="88" s="1"/>
  <c r="S30" i="88"/>
  <c r="R30" i="88" s="1"/>
  <c r="Q30" i="88" s="1"/>
  <c r="M30" i="88"/>
  <c r="N30" i="88" s="1"/>
  <c r="O30" i="88" s="1"/>
  <c r="S19" i="88"/>
  <c r="R19" i="88" s="1"/>
  <c r="Q19" i="88" s="1"/>
  <c r="M19" i="88"/>
  <c r="N19" i="88" s="1"/>
  <c r="O19" i="88" s="1"/>
  <c r="S29" i="88"/>
  <c r="R29" i="88" s="1"/>
  <c r="Q29" i="88" s="1"/>
  <c r="M29" i="88"/>
  <c r="N29" i="88" s="1"/>
  <c r="O29" i="88" s="1"/>
  <c r="M22" i="88"/>
  <c r="N22" i="88" s="1"/>
  <c r="O22" i="88" s="1"/>
  <c r="S22" i="88"/>
  <c r="R22" i="88" s="1"/>
  <c r="Q22" i="88" s="1"/>
  <c r="M24" i="88"/>
  <c r="N24" i="88" s="1"/>
  <c r="O24" i="88" s="1"/>
  <c r="S24" i="88"/>
  <c r="R24" i="88" s="1"/>
  <c r="Q24" i="88" s="1"/>
  <c r="M10" i="88"/>
  <c r="N10" i="88" s="1"/>
  <c r="O10" i="88" s="1"/>
  <c r="S10" i="88"/>
  <c r="R10" i="88" s="1"/>
  <c r="Q10" i="88" s="1"/>
  <c r="M9" i="88"/>
  <c r="N9" i="88" s="1"/>
  <c r="O9" i="88" s="1"/>
  <c r="S9" i="88"/>
  <c r="R9" i="88" s="1"/>
  <c r="Q9" i="88" s="1"/>
  <c r="M13" i="88"/>
  <c r="N13" i="88" s="1"/>
  <c r="O13" i="88" s="1"/>
  <c r="S13" i="88"/>
  <c r="R13" i="88" s="1"/>
  <c r="Q13" i="88" s="1"/>
  <c r="S14" i="88"/>
  <c r="R14" i="88" s="1"/>
  <c r="Q14" i="88" s="1"/>
  <c r="M14" i="88"/>
  <c r="N14" i="88" s="1"/>
  <c r="O14" i="88" s="1"/>
  <c r="S26" i="88"/>
  <c r="R26" i="88" s="1"/>
  <c r="Q26" i="88" s="1"/>
  <c r="M26" i="88"/>
  <c r="N26" i="88" s="1"/>
  <c r="O26" i="88" s="1"/>
  <c r="S6" i="88"/>
  <c r="R6" i="88" s="1"/>
  <c r="Q6" i="88" s="1"/>
  <c r="M6" i="88"/>
  <c r="N6" i="88" s="1"/>
  <c r="O6" i="88" s="1"/>
  <c r="S8" i="88"/>
  <c r="R8" i="88" s="1"/>
  <c r="Q8" i="88" s="1"/>
  <c r="M8" i="88"/>
  <c r="N8" i="88" s="1"/>
  <c r="O8" i="88" s="1"/>
  <c r="S20" i="88"/>
  <c r="R20" i="88" s="1"/>
  <c r="Q20" i="88" s="1"/>
  <c r="M20" i="88"/>
  <c r="N20" i="88" s="1"/>
  <c r="O20" i="88" s="1"/>
  <c r="S17" i="88"/>
  <c r="R17" i="88" s="1"/>
  <c r="Q17" i="88" s="1"/>
  <c r="M17" i="88"/>
  <c r="N17" i="88" s="1"/>
  <c r="O17" i="88" s="1"/>
  <c r="S25" i="88"/>
  <c r="R25" i="88" s="1"/>
  <c r="Q25" i="88" s="1"/>
  <c r="M25" i="88"/>
  <c r="N25" i="88" s="1"/>
  <c r="O25" i="88" s="1"/>
  <c r="M15" i="88"/>
  <c r="N15" i="88" s="1"/>
  <c r="O15" i="88" s="1"/>
  <c r="S15" i="88"/>
  <c r="R15" i="88" s="1"/>
  <c r="Q15" i="88" s="1"/>
  <c r="S18" i="88"/>
  <c r="R18" i="88" s="1"/>
  <c r="Q18" i="88" s="1"/>
  <c r="M18" i="88"/>
  <c r="N18" i="88" s="1"/>
  <c r="O18" i="88" s="1"/>
  <c r="S23" i="88"/>
  <c r="R23" i="88" s="1"/>
  <c r="Q23" i="88" s="1"/>
  <c r="M23" i="88"/>
  <c r="N23" i="88" s="1"/>
  <c r="O23" i="88" s="1"/>
  <c r="S28" i="88"/>
  <c r="R28" i="88" s="1"/>
  <c r="Q28" i="88" s="1"/>
  <c r="M28" i="88"/>
  <c r="N28" i="88" s="1"/>
  <c r="O28" i="88" s="1"/>
  <c r="M11" i="88"/>
  <c r="N11" i="88" s="1"/>
  <c r="O11" i="88" s="1"/>
  <c r="S11" i="88"/>
  <c r="R11" i="88" s="1"/>
  <c r="Q11" i="8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181A1C-EBD7-4703-9FA4-0C9E60607092}" keepAlive="1" name="Query - orders-2400365 demo historical" description="Connection to the 'orders-2400365 demo historical' query in the workbook." type="5" refreshedVersion="6" background="1" saveData="1">
    <dbPr connection="Provider=Microsoft.Mashup.OleDb.1;Data Source=$Workbook$;Location=&quot;orders-2400365 demo historical&quot;;Extended Properties=&quot;&quot;" command="SELECT * FROM [orders-2400365 demo historical]"/>
  </connection>
  <connection id="2" xr16:uid="{8BDC5B7C-721D-4F41-9B5A-3F3B85256038}" keepAlive="1" name="Query - orders-2400365 demo live" description="Connection to the 'orders-2400365 demo live' query in the workbook." type="5" refreshedVersion="6" background="1" saveData="1">
    <dbPr connection="Provider=Microsoft.Mashup.OleDb.1;Data Source=$Workbook$;Location=&quot;orders-2400365 demo live&quot;;Extended Properties=&quot;&quot;" command="SELECT * FROM [orders-2400365 demo live]"/>
  </connection>
  <connection id="3" xr16:uid="{BCE7C8FF-91FD-40BE-BF53-45629915E812}" keepAlive="1" name="Query - orders-4196723 real historical" description="Connection to the 'orders-4196723 real historical' query in the workbook." type="5" refreshedVersion="6" background="1" saveData="1">
    <dbPr connection="Provider=Microsoft.Mashup.OleDb.1;Data Source=$Workbook$;Location=&quot;orders-4196723 real historical&quot;;Extended Properties=&quot;&quot;" command="SELECT * FROM [orders-4196723 real historical]"/>
  </connection>
  <connection id="4" xr16:uid="{7050F54A-B25B-443C-A35D-DE1AB6F4AD89}" keepAlive="1" name="Query - orders-4196723 real live" description="Connection to the 'orders-4196723 real live' query in the workbook." type="5" refreshedVersion="6" background="1" saveData="1">
    <dbPr connection="Provider=Microsoft.Mashup.OleDb.1;Data Source=$Workbook$;Location=&quot;orders-4196723 real live&quot;;Extended Properties=&quot;&quot;" command="SELECT * FROM [orders-4196723 real live]"/>
  </connection>
  <connection id="5" xr16:uid="{65C8A276-3B5E-4A23-AA65-6301E97D553F}" keepAlive="1" name="Query - Pair_Specs_Outputs" description="Connection to the 'Pair_Specs_Outputs' query in the workbook." type="5" refreshedVersion="6" background="1" saveData="1">
    <dbPr connection="Provider=Microsoft.Mashup.OleDb.1;Data Source=$Workbook$;Location=Pair_Specs_Outputs;Extended Properties=&quot;&quot;" command="SELECT * FROM [Pair_Specs_Outputs]"/>
  </connection>
  <connection id="6" xr16:uid="{F4FB86B4-7107-4C77-9389-9B753852AAE7}" keepAlive="1" name="Query - Pair_Specs_Outputs (2)" description="Connection to the 'Pair_Specs_Outputs (2)' query in the workbook." type="5" refreshedVersion="6" background="1" saveData="1">
    <dbPr connection="Provider=Microsoft.Mashup.OleDb.1;Data Source=$Workbook$;Location=&quot;Pair_Specs_Outputs (2)&quot;;Extended Properties=&quot;&quot;" command="SELECT * FROM [Pair_Specs_Outputs (2)]"/>
  </connection>
</connections>
</file>

<file path=xl/sharedStrings.xml><?xml version="1.0" encoding="utf-8"?>
<sst xmlns="http://schemas.openxmlformats.org/spreadsheetml/2006/main" count="197" uniqueCount="85">
  <si>
    <t>JPY</t>
  </si>
  <si>
    <t>USD</t>
  </si>
  <si>
    <t>GBP</t>
  </si>
  <si>
    <t>EUR</t>
  </si>
  <si>
    <t>High</t>
  </si>
  <si>
    <t>Low</t>
  </si>
  <si>
    <t>EURUSD</t>
  </si>
  <si>
    <t>GBPNZD</t>
  </si>
  <si>
    <t>EURNZD</t>
  </si>
  <si>
    <t>AUDNZD</t>
  </si>
  <si>
    <t>GBPAUD</t>
  </si>
  <si>
    <t>EURAUD</t>
  </si>
  <si>
    <t>USDCAD</t>
  </si>
  <si>
    <t>NZDCAD</t>
  </si>
  <si>
    <t>GBPCAD</t>
  </si>
  <si>
    <t>EURCAD</t>
  </si>
  <si>
    <t>AUDCAD</t>
  </si>
  <si>
    <t>USDJPY</t>
  </si>
  <si>
    <t>NZDJPY</t>
  </si>
  <si>
    <t>GBPJPY</t>
  </si>
  <si>
    <t>EURJPY</t>
  </si>
  <si>
    <t>CHFJPY</t>
  </si>
  <si>
    <t>CADJPY</t>
  </si>
  <si>
    <t>AUDJPY</t>
  </si>
  <si>
    <t>NZDUSD</t>
  </si>
  <si>
    <t>GBPUSD</t>
  </si>
  <si>
    <t>AUDUSD</t>
  </si>
  <si>
    <t>USDCHF</t>
  </si>
  <si>
    <t>NZDCHF</t>
  </si>
  <si>
    <t>GBPCHF</t>
  </si>
  <si>
    <t>EURCHF</t>
  </si>
  <si>
    <t>CADCHF</t>
  </si>
  <si>
    <t>AUDCHF</t>
  </si>
  <si>
    <t>EURGBP</t>
  </si>
  <si>
    <t>Other</t>
  </si>
  <si>
    <t>L</t>
  </si>
  <si>
    <t>H</t>
  </si>
  <si>
    <t>Symbol</t>
  </si>
  <si>
    <t>Bid</t>
  </si>
  <si>
    <t>Ask</t>
  </si>
  <si>
    <t>Margin %</t>
  </si>
  <si>
    <t>Spread</t>
  </si>
  <si>
    <t>DateTime</t>
  </si>
  <si>
    <t>SwapShort</t>
  </si>
  <si>
    <t>SwapLong</t>
  </si>
  <si>
    <t>Spread Pips</t>
  </si>
  <si>
    <t>Spread Points</t>
  </si>
  <si>
    <t>Avg Price</t>
  </si>
  <si>
    <t>DDE</t>
  </si>
  <si>
    <t>T/B</t>
  </si>
  <si>
    <t>Filter</t>
  </si>
  <si>
    <t>Distance</t>
  </si>
  <si>
    <t>AVG</t>
  </si>
  <si>
    <t>Rng</t>
  </si>
  <si>
    <t>MT4 DDE Live Market Data</t>
  </si>
  <si>
    <t>Currency</t>
  </si>
  <si>
    <t>Left</t>
  </si>
  <si>
    <t>Right</t>
  </si>
  <si>
    <t>Trade Size</t>
  </si>
  <si>
    <t>Factor</t>
  </si>
  <si>
    <t>Is USD?</t>
  </si>
  <si>
    <t>1st USD</t>
  </si>
  <si>
    <t>2nd USD</t>
  </si>
  <si>
    <t>Ask Price</t>
  </si>
  <si>
    <t>Bid Price</t>
  </si>
  <si>
    <t>Pip Value</t>
  </si>
  <si>
    <t>USD 2nd Pair</t>
  </si>
  <si>
    <t>USD 1st Pair</t>
  </si>
  <si>
    <t>Neither USD</t>
  </si>
  <si>
    <t>Lot</t>
  </si>
  <si>
    <t>Account</t>
  </si>
  <si>
    <t>Base Unit</t>
  </si>
  <si>
    <t>Base Pair</t>
  </si>
  <si>
    <t>Base Exchange</t>
  </si>
  <si>
    <t>Is Prim USD</t>
  </si>
  <si>
    <t>Is 2nd USD?</t>
  </si>
  <si>
    <t>Format 1</t>
  </si>
  <si>
    <t>Format 2</t>
  </si>
  <si>
    <t>USD Exchange</t>
  </si>
  <si>
    <t>Split 1</t>
  </si>
  <si>
    <t>Split 2</t>
  </si>
  <si>
    <t>Required Margin</t>
  </si>
  <si>
    <t>Calculation Table</t>
  </si>
  <si>
    <t>Pricing</t>
  </si>
  <si>
    <t>Req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</si>
</sst>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#,##0.00_);[Red]\(&quot;$&quot;#,##0.00\)"/>
    <numFmt numFmtId="164" formatCode="0.0"/>
    <numFmt numFmtId="165" formatCode="0.0000"/>
    <numFmt numFmtId="166" formatCode="hh\.mm\.ss"/>
    <numFmt numFmtId="167" formatCode="0.000"/>
    <numFmt numFmtId="168" formatCode="0.00000"/>
    <numFmt numFmtId="169" formatCode="&quot;$&quot;#,##0.0000"/>
    <numFmt numFmtId="170" formatCode="0.0%"/>
    <numFmt numFmtId="171" formatCode="&quot;$&quot;#,##0.00000"/>
    <numFmt numFmtId="172" formatCode="&quot;$&quot;#,##0.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006100"/>
      <name val="Calibri"/>
      <family val="2"/>
      <scheme val="minor"/>
    </font>
    <font>
      <sz val="8"/>
      <color theme="1"/>
      <name val="Calibri Light"/>
      <family val="2"/>
      <scheme val="major"/>
    </font>
    <font>
      <sz val="1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8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sz val="11"/>
      <color rgb="FF9C0006"/>
      <name val="Calibri"/>
      <family val="2"/>
      <scheme val="minor"/>
    </font>
    <font>
      <sz val="8"/>
      <color rgb="FF9C0006"/>
      <name val="Calibri Light"/>
      <family val="2"/>
      <scheme val="major"/>
    </font>
    <font>
      <sz val="8"/>
      <color rgb="FF006100"/>
      <name val="Calibri Light"/>
      <family val="2"/>
      <scheme val="major"/>
    </font>
    <font>
      <u/>
      <sz val="11"/>
      <color theme="1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sz val="11"/>
      <color rgb="FF9C0006"/>
      <name val="Calibri Light"/>
      <family val="2"/>
      <scheme val="major"/>
    </font>
    <font>
      <sz val="11"/>
      <color rgb="FF006100"/>
      <name val="Calibri Light"/>
      <family val="2"/>
      <scheme val="major"/>
    </font>
    <font>
      <u/>
      <sz val="8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48"/>
      <color theme="1"/>
      <name val="Calibri Light"/>
      <family val="2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CCC"/>
        <bgColor indexed="64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1"/>
      </left>
      <right style="thin">
        <color theme="0" tint="-0.249977111117893"/>
      </right>
      <top style="thin">
        <color theme="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1"/>
      </right>
      <top style="thin">
        <color theme="1"/>
      </top>
      <bottom style="thin">
        <color theme="0" tint="-0.249977111117893"/>
      </bottom>
      <diagonal/>
    </border>
    <border>
      <left style="thin">
        <color theme="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0" tint="-0.249977111117893"/>
      </right>
      <top style="thin">
        <color theme="0" tint="-0.249977111117893"/>
      </top>
      <bottom style="thin">
        <color theme="1"/>
      </bottom>
      <diagonal/>
    </border>
    <border>
      <left style="thin">
        <color theme="0" tint="-0.249977111117893"/>
      </left>
      <right style="thin">
        <color theme="1"/>
      </right>
      <top style="thin">
        <color theme="0" tint="-0.249977111117893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1"/>
      </right>
      <top/>
      <bottom style="thin">
        <color theme="0" tint="-0.249977111117893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1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</borders>
  <cellStyleXfs count="4">
    <xf numFmtId="0" fontId="0" fillId="0" borderId="0"/>
    <xf numFmtId="0" fontId="3" fillId="6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8" borderId="0" applyNumberFormat="0" applyBorder="0" applyAlignment="0" applyProtection="0"/>
  </cellStyleXfs>
  <cellXfs count="272">
    <xf numFmtId="0" fontId="0" fillId="0" borderId="0" xfId="0"/>
    <xf numFmtId="0" fontId="2" fillId="0" borderId="0" xfId="0" applyFont="1" applyBorder="1"/>
    <xf numFmtId="0" fontId="2" fillId="3" borderId="0" xfId="0" applyFont="1" applyFill="1" applyBorder="1"/>
    <xf numFmtId="0" fontId="2" fillId="0" borderId="4" xfId="0" applyFont="1" applyBorder="1"/>
    <xf numFmtId="0" fontId="2" fillId="0" borderId="0" xfId="0" applyFont="1"/>
    <xf numFmtId="0" fontId="2" fillId="3" borderId="0" xfId="0" applyFont="1" applyFill="1"/>
    <xf numFmtId="0" fontId="2" fillId="3" borderId="0" xfId="0" applyFont="1" applyFill="1" applyBorder="1" applyAlignment="1">
      <alignment horizontal="center"/>
    </xf>
    <xf numFmtId="0" fontId="2" fillId="3" borderId="4" xfId="0" applyFont="1" applyFill="1" applyBorder="1"/>
    <xf numFmtId="0" fontId="1" fillId="3" borderId="0" xfId="0" applyFont="1" applyFill="1" applyBorder="1"/>
    <xf numFmtId="0" fontId="1" fillId="0" borderId="4" xfId="0" applyFont="1" applyBorder="1"/>
    <xf numFmtId="0" fontId="5" fillId="0" borderId="1" xfId="0" applyNumberFormat="1" applyFont="1" applyFill="1" applyBorder="1"/>
    <xf numFmtId="0" fontId="2" fillId="3" borderId="0" xfId="0" applyFont="1" applyFill="1" applyBorder="1" applyAlignment="1">
      <alignment horizontal="left"/>
    </xf>
    <xf numFmtId="0" fontId="2" fillId="0" borderId="0" xfId="0" applyNumberFormat="1" applyFont="1"/>
    <xf numFmtId="22" fontId="2" fillId="0" borderId="0" xfId="0" applyNumberFormat="1" applyFont="1"/>
    <xf numFmtId="164" fontId="2" fillId="0" borderId="0" xfId="0" applyNumberFormat="1" applyFont="1" applyBorder="1"/>
    <xf numFmtId="165" fontId="2" fillId="0" borderId="0" xfId="0" applyNumberFormat="1" applyFont="1" applyBorder="1"/>
    <xf numFmtId="0" fontId="1" fillId="0" borderId="4" xfId="0" applyNumberFormat="1" applyFont="1" applyBorder="1"/>
    <xf numFmtId="22" fontId="1" fillId="0" borderId="4" xfId="0" applyNumberFormat="1" applyFont="1" applyBorder="1"/>
    <xf numFmtId="165" fontId="5" fillId="0" borderId="0" xfId="0" applyNumberFormat="1" applyFont="1" applyBorder="1"/>
    <xf numFmtId="168" fontId="2" fillId="0" borderId="0" xfId="0" applyNumberFormat="1" applyFont="1" applyBorder="1"/>
    <xf numFmtId="0" fontId="5" fillId="0" borderId="0" xfId="0" applyNumberFormat="1" applyFont="1" applyFill="1" applyBorder="1"/>
    <xf numFmtId="22" fontId="2" fillId="0" borderId="0" xfId="0" applyNumberFormat="1" applyFont="1" applyBorder="1"/>
    <xf numFmtId="0" fontId="2" fillId="3" borderId="0" xfId="0" applyFont="1" applyFill="1" applyAlignment="1">
      <alignment horizontal="center"/>
    </xf>
    <xf numFmtId="0" fontId="1" fillId="0" borderId="4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1" fillId="4" borderId="11" xfId="0" applyFont="1" applyFill="1" applyBorder="1" applyAlignment="1">
      <alignment horizontal="center"/>
    </xf>
    <xf numFmtId="168" fontId="1" fillId="0" borderId="4" xfId="0" applyNumberFormat="1" applyFont="1" applyBorder="1"/>
    <xf numFmtId="168" fontId="5" fillId="0" borderId="0" xfId="0" applyNumberFormat="1" applyFont="1" applyBorder="1"/>
    <xf numFmtId="168" fontId="2" fillId="0" borderId="0" xfId="0" applyNumberFormat="1" applyFont="1"/>
    <xf numFmtId="0" fontId="12" fillId="3" borderId="0" xfId="2" applyFont="1" applyFill="1" applyBorder="1" applyAlignment="1">
      <alignment vertical="center"/>
    </xf>
    <xf numFmtId="0" fontId="12" fillId="3" borderId="0" xfId="2" applyFont="1" applyFill="1" applyBorder="1" applyAlignment="1" applyProtection="1">
      <alignment vertical="top"/>
      <protection locked="0"/>
    </xf>
    <xf numFmtId="0" fontId="1" fillId="3" borderId="0" xfId="0" applyFont="1" applyFill="1" applyAlignment="1">
      <alignment horizontal="right"/>
    </xf>
    <xf numFmtId="0" fontId="1" fillId="3" borderId="0" xfId="0" applyFont="1" applyFill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2" fillId="2" borderId="8" xfId="0" applyNumberFormat="1" applyFont="1" applyFill="1" applyBorder="1" applyAlignment="1">
      <alignment horizontal="center"/>
    </xf>
    <xf numFmtId="0" fontId="2" fillId="3" borderId="0" xfId="2" applyFont="1" applyFill="1" applyBorder="1" applyAlignment="1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horizontal="left"/>
    </xf>
    <xf numFmtId="0" fontId="1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15" fillId="6" borderId="23" xfId="1" applyFont="1" applyBorder="1" applyAlignment="1">
      <alignment horizontal="center" vertical="center"/>
    </xf>
    <xf numFmtId="0" fontId="3" fillId="6" borderId="10" xfId="1" applyBorder="1" applyAlignment="1">
      <alignment horizontal="center" vertical="center"/>
    </xf>
    <xf numFmtId="0" fontId="14" fillId="8" borderId="24" xfId="3" applyFont="1" applyBorder="1" applyAlignment="1">
      <alignment horizontal="center" vertical="center"/>
    </xf>
    <xf numFmtId="0" fontId="9" fillId="8" borderId="10" xfId="3" applyBorder="1" applyAlignment="1">
      <alignment horizontal="center" vertical="center"/>
    </xf>
    <xf numFmtId="0" fontId="2" fillId="3" borderId="0" xfId="0" applyFont="1" applyFill="1" applyAlignment="1">
      <alignment horizontal="right"/>
    </xf>
    <xf numFmtId="0" fontId="2" fillId="3" borderId="0" xfId="0" applyFont="1" applyFill="1" applyAlignment="1">
      <alignment horizontal="right" vertical="center"/>
    </xf>
    <xf numFmtId="0" fontId="2" fillId="3" borderId="0" xfId="0" quotePrefix="1" applyFont="1" applyFill="1"/>
    <xf numFmtId="10" fontId="2" fillId="0" borderId="0" xfId="0" applyNumberFormat="1" applyFont="1" applyFill="1" applyBorder="1" applyAlignment="1">
      <alignment horizontal="left"/>
    </xf>
    <xf numFmtId="10" fontId="2" fillId="3" borderId="0" xfId="0" applyNumberFormat="1" applyFont="1" applyFill="1" applyAlignment="1">
      <alignment horizontal="right"/>
    </xf>
    <xf numFmtId="168" fontId="15" fillId="3" borderId="0" xfId="1" applyNumberFormat="1" applyFont="1" applyFill="1" applyBorder="1" applyAlignment="1"/>
    <xf numFmtId="167" fontId="15" fillId="3" borderId="0" xfId="1" applyNumberFormat="1" applyFont="1" applyFill="1" applyBorder="1" applyAlignment="1"/>
    <xf numFmtId="0" fontId="12" fillId="3" borderId="0" xfId="2" applyFont="1" applyFill="1" applyBorder="1" applyAlignment="1" applyProtection="1">
      <alignment horizontal="left" vertical="top"/>
      <protection locked="0"/>
    </xf>
    <xf numFmtId="0" fontId="2" fillId="3" borderId="0" xfId="2" applyFont="1" applyFill="1" applyBorder="1" applyAlignment="1">
      <alignment horizontal="right"/>
    </xf>
    <xf numFmtId="164" fontId="12" fillId="3" borderId="0" xfId="2" applyNumberFormat="1" applyFont="1" applyFill="1" applyBorder="1" applyAlignment="1" applyProtection="1">
      <alignment vertical="top"/>
      <protection locked="0"/>
    </xf>
    <xf numFmtId="164" fontId="2" fillId="3" borderId="0" xfId="0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right"/>
    </xf>
    <xf numFmtId="0" fontId="4" fillId="3" borderId="0" xfId="0" applyFont="1" applyFill="1" applyAlignment="1">
      <alignment horizontal="right"/>
    </xf>
    <xf numFmtId="0" fontId="4" fillId="3" borderId="0" xfId="0" applyFont="1" applyFill="1" applyAlignment="1">
      <alignment horizontal="left"/>
    </xf>
    <xf numFmtId="164" fontId="4" fillId="3" borderId="0" xfId="0" applyNumberFormat="1" applyFont="1" applyFill="1" applyAlignment="1">
      <alignment horizontal="left"/>
    </xf>
    <xf numFmtId="10" fontId="2" fillId="3" borderId="0" xfId="0" applyNumberFormat="1" applyFont="1" applyFill="1" applyAlignment="1">
      <alignment horizontal="left"/>
    </xf>
    <xf numFmtId="0" fontId="8" fillId="3" borderId="0" xfId="0" applyFont="1" applyFill="1" applyAlignment="1">
      <alignment horizontal="left"/>
    </xf>
    <xf numFmtId="164" fontId="8" fillId="3" borderId="0" xfId="0" applyNumberFormat="1" applyFont="1" applyFill="1" applyAlignment="1">
      <alignment horizontal="left"/>
    </xf>
    <xf numFmtId="10" fontId="1" fillId="3" borderId="0" xfId="0" applyNumberFormat="1" applyFont="1" applyFill="1" applyAlignment="1">
      <alignment horizontal="left"/>
    </xf>
    <xf numFmtId="0" fontId="4" fillId="3" borderId="0" xfId="2" applyFont="1" applyFill="1" applyBorder="1" applyAlignment="1">
      <alignment horizontal="left"/>
    </xf>
    <xf numFmtId="164" fontId="4" fillId="3" borderId="0" xfId="2" applyNumberFormat="1" applyFont="1" applyFill="1" applyBorder="1" applyAlignment="1">
      <alignment horizontal="left"/>
    </xf>
    <xf numFmtId="10" fontId="2" fillId="3" borderId="0" xfId="2" applyNumberFormat="1" applyFont="1" applyFill="1" applyBorder="1" applyAlignment="1">
      <alignment horizontal="left"/>
    </xf>
    <xf numFmtId="0" fontId="4" fillId="3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horizontal="left" vertical="center"/>
    </xf>
    <xf numFmtId="10" fontId="2" fillId="3" borderId="0" xfId="0" applyNumberFormat="1" applyFont="1" applyFill="1" applyAlignment="1">
      <alignment horizontal="left" vertical="center"/>
    </xf>
    <xf numFmtId="10" fontId="12" fillId="3" borderId="0" xfId="2" applyNumberFormat="1" applyFont="1" applyFill="1" applyBorder="1" applyAlignment="1" applyProtection="1">
      <alignment horizontal="right" vertical="top"/>
      <protection locked="0"/>
    </xf>
    <xf numFmtId="164" fontId="16" fillId="3" borderId="0" xfId="2" applyNumberFormat="1" applyFont="1" applyFill="1" applyBorder="1" applyAlignment="1" applyProtection="1">
      <alignment horizontal="right" vertical="top"/>
      <protection locked="0"/>
    </xf>
    <xf numFmtId="0" fontId="16" fillId="3" borderId="0" xfId="2" applyFont="1" applyFill="1" applyBorder="1" applyAlignment="1" applyProtection="1">
      <alignment horizontal="right" vertical="top"/>
      <protection locked="0"/>
    </xf>
    <xf numFmtId="10" fontId="15" fillId="0" borderId="0" xfId="1" applyNumberFormat="1" applyFont="1" applyFill="1" applyBorder="1" applyAlignment="1">
      <alignment horizontal="right"/>
    </xf>
    <xf numFmtId="0" fontId="1" fillId="4" borderId="7" xfId="0" applyFont="1" applyFill="1" applyBorder="1"/>
    <xf numFmtId="0" fontId="2" fillId="3" borderId="8" xfId="0" applyFont="1" applyFill="1" applyBorder="1"/>
    <xf numFmtId="168" fontId="15" fillId="3" borderId="8" xfId="1" applyNumberFormat="1" applyFont="1" applyFill="1" applyBorder="1" applyAlignment="1"/>
    <xf numFmtId="1" fontId="2" fillId="2" borderId="5" xfId="0" applyNumberFormat="1" applyFont="1" applyFill="1" applyBorder="1" applyAlignment="1">
      <alignment horizontal="center"/>
    </xf>
    <xf numFmtId="168" fontId="15" fillId="3" borderId="4" xfId="1" applyNumberFormat="1" applyFont="1" applyFill="1" applyBorder="1" applyAlignment="1"/>
    <xf numFmtId="1" fontId="2" fillId="2" borderId="0" xfId="0" applyNumberFormat="1" applyFont="1" applyFill="1" applyBorder="1" applyAlignment="1">
      <alignment horizontal="center"/>
    </xf>
    <xf numFmtId="167" fontId="15" fillId="3" borderId="8" xfId="1" applyNumberFormat="1" applyFont="1" applyFill="1" applyBorder="1" applyAlignment="1"/>
    <xf numFmtId="1" fontId="2" fillId="2" borderId="4" xfId="0" applyNumberFormat="1" applyFont="1" applyFill="1" applyBorder="1" applyAlignment="1">
      <alignment horizontal="center"/>
    </xf>
    <xf numFmtId="167" fontId="15" fillId="3" borderId="4" xfId="1" applyNumberFormat="1" applyFont="1" applyFill="1" applyBorder="1" applyAlignment="1"/>
    <xf numFmtId="164" fontId="1" fillId="3" borderId="8" xfId="0" applyNumberFormat="1" applyFont="1" applyFill="1" applyBorder="1"/>
    <xf numFmtId="164" fontId="15" fillId="3" borderId="30" xfId="1" applyNumberFormat="1" applyFont="1" applyFill="1" applyBorder="1" applyAlignment="1"/>
    <xf numFmtId="164" fontId="15" fillId="3" borderId="0" xfId="1" applyNumberFormat="1" applyFont="1" applyFill="1" applyBorder="1" applyAlignment="1"/>
    <xf numFmtId="164" fontId="15" fillId="3" borderId="23" xfId="1" applyNumberFormat="1" applyFont="1" applyFill="1" applyBorder="1" applyAlignment="1"/>
    <xf numFmtId="0" fontId="8" fillId="4" borderId="14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right"/>
    </xf>
    <xf numFmtId="0" fontId="8" fillId="4" borderId="14" xfId="0" applyFont="1" applyFill="1" applyBorder="1"/>
    <xf numFmtId="0" fontId="8" fillId="4" borderId="14" xfId="0" applyFont="1" applyFill="1" applyBorder="1" applyAlignment="1">
      <alignment horizontal="right"/>
    </xf>
    <xf numFmtId="10" fontId="2" fillId="0" borderId="8" xfId="0" applyNumberFormat="1" applyFont="1" applyFill="1" applyBorder="1" applyAlignment="1">
      <alignment horizontal="left"/>
    </xf>
    <xf numFmtId="10" fontId="15" fillId="0" borderId="8" xfId="1" applyNumberFormat="1" applyFont="1" applyFill="1" applyBorder="1" applyAlignment="1">
      <alignment horizontal="right"/>
    </xf>
    <xf numFmtId="10" fontId="2" fillId="0" borderId="4" xfId="0" applyNumberFormat="1" applyFont="1" applyFill="1" applyBorder="1" applyAlignment="1">
      <alignment horizontal="left"/>
    </xf>
    <xf numFmtId="10" fontId="15" fillId="0" borderId="4" xfId="1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left"/>
    </xf>
    <xf numFmtId="164" fontId="7" fillId="0" borderId="8" xfId="0" applyNumberFormat="1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164" fontId="7" fillId="0" borderId="0" xfId="0" applyNumberFormat="1" applyFont="1" applyFill="1" applyBorder="1" applyAlignment="1">
      <alignment horizontal="left"/>
    </xf>
    <xf numFmtId="167" fontId="7" fillId="0" borderId="1" xfId="0" applyNumberFormat="1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164" fontId="7" fillId="0" borderId="4" xfId="0" applyNumberFormat="1" applyFont="1" applyFill="1" applyBorder="1" applyAlignment="1">
      <alignment horizontal="left"/>
    </xf>
    <xf numFmtId="0" fontId="7" fillId="0" borderId="25" xfId="0" applyFont="1" applyFill="1" applyBorder="1" applyAlignment="1">
      <alignment horizontal="left"/>
    </xf>
    <xf numFmtId="167" fontId="7" fillId="0" borderId="25" xfId="0" applyNumberFormat="1" applyFont="1" applyFill="1" applyBorder="1" applyAlignment="1">
      <alignment horizontal="left"/>
    </xf>
    <xf numFmtId="164" fontId="7" fillId="0" borderId="8" xfId="1" applyNumberFormat="1" applyFont="1" applyFill="1" applyBorder="1" applyAlignment="1">
      <alignment horizontal="right"/>
    </xf>
    <xf numFmtId="168" fontId="7" fillId="0" borderId="9" xfId="1" applyNumberFormat="1" applyFont="1" applyFill="1" applyBorder="1" applyAlignment="1">
      <alignment horizontal="right"/>
    </xf>
    <xf numFmtId="164" fontId="7" fillId="0" borderId="0" xfId="1" applyNumberFormat="1" applyFont="1" applyFill="1" applyBorder="1" applyAlignment="1">
      <alignment horizontal="right"/>
    </xf>
    <xf numFmtId="168" fontId="7" fillId="0" borderId="2" xfId="1" applyNumberFormat="1" applyFont="1" applyFill="1" applyBorder="1" applyAlignment="1">
      <alignment horizontal="right"/>
    </xf>
    <xf numFmtId="167" fontId="7" fillId="0" borderId="2" xfId="1" applyNumberFormat="1" applyFont="1" applyFill="1" applyBorder="1" applyAlignment="1">
      <alignment horizontal="right"/>
    </xf>
    <xf numFmtId="164" fontId="7" fillId="0" borderId="4" xfId="1" applyNumberFormat="1" applyFont="1" applyFill="1" applyBorder="1" applyAlignment="1">
      <alignment horizontal="right"/>
    </xf>
    <xf numFmtId="168" fontId="7" fillId="0" borderId="6" xfId="1" applyNumberFormat="1" applyFont="1" applyFill="1" applyBorder="1" applyAlignment="1">
      <alignment horizontal="right"/>
    </xf>
    <xf numFmtId="168" fontId="7" fillId="0" borderId="26" xfId="1" applyNumberFormat="1" applyFont="1" applyFill="1" applyBorder="1" applyAlignment="1">
      <alignment horizontal="right"/>
    </xf>
    <xf numFmtId="167" fontId="7" fillId="0" borderId="26" xfId="1" applyNumberFormat="1" applyFont="1" applyFill="1" applyBorder="1" applyAlignment="1">
      <alignment horizontal="right"/>
    </xf>
    <xf numFmtId="164" fontId="4" fillId="3" borderId="0" xfId="0" applyNumberFormat="1" applyFont="1" applyFill="1" applyAlignment="1">
      <alignment horizontal="center"/>
    </xf>
    <xf numFmtId="164" fontId="16" fillId="3" borderId="0" xfId="2" applyNumberFormat="1" applyFont="1" applyFill="1" applyBorder="1" applyAlignment="1" applyProtection="1">
      <alignment horizontal="center" vertical="top"/>
      <protection locked="0"/>
    </xf>
    <xf numFmtId="164" fontId="4" fillId="0" borderId="0" xfId="1" applyNumberFormat="1" applyFont="1" applyFill="1" applyBorder="1" applyAlignment="1">
      <alignment horizontal="center"/>
    </xf>
    <xf numFmtId="164" fontId="8" fillId="4" borderId="3" xfId="0" applyNumberFormat="1" applyFont="1" applyFill="1" applyBorder="1" applyAlignment="1">
      <alignment horizontal="center"/>
    </xf>
    <xf numFmtId="164" fontId="4" fillId="0" borderId="4" xfId="1" applyNumberFormat="1" applyFont="1" applyFill="1" applyBorder="1" applyAlignment="1">
      <alignment horizontal="center"/>
    </xf>
    <xf numFmtId="168" fontId="15" fillId="0" borderId="15" xfId="1" applyNumberFormat="1" applyFont="1" applyFill="1" applyBorder="1" applyAlignment="1"/>
    <xf numFmtId="164" fontId="2" fillId="0" borderId="15" xfId="0" applyNumberFormat="1" applyFont="1" applyBorder="1" applyAlignment="1">
      <alignment horizontal="center"/>
    </xf>
    <xf numFmtId="168" fontId="11" fillId="6" borderId="17" xfId="1" applyNumberFormat="1" applyFont="1" applyBorder="1" applyAlignment="1">
      <alignment horizontal="left"/>
    </xf>
    <xf numFmtId="168" fontId="15" fillId="0" borderId="33" xfId="1" applyNumberFormat="1" applyFont="1" applyFill="1" applyBorder="1" applyAlignment="1"/>
    <xf numFmtId="164" fontId="2" fillId="0" borderId="33" xfId="0" applyNumberFormat="1" applyFont="1" applyBorder="1" applyAlignment="1">
      <alignment horizontal="center"/>
    </xf>
    <xf numFmtId="168" fontId="10" fillId="7" borderId="18" xfId="3" applyNumberFormat="1" applyFont="1" applyFill="1" applyBorder="1" applyAlignment="1">
      <alignment horizontal="right"/>
    </xf>
    <xf numFmtId="168" fontId="11" fillId="6" borderId="19" xfId="1" applyNumberFormat="1" applyFont="1" applyBorder="1" applyAlignment="1">
      <alignment horizontal="left"/>
    </xf>
    <xf numFmtId="168" fontId="10" fillId="7" borderId="20" xfId="3" applyNumberFormat="1" applyFont="1" applyFill="1" applyBorder="1" applyAlignment="1">
      <alignment horizontal="right"/>
    </xf>
    <xf numFmtId="167" fontId="11" fillId="6" borderId="19" xfId="1" applyNumberFormat="1" applyFont="1" applyBorder="1" applyAlignment="1">
      <alignment horizontal="left"/>
    </xf>
    <xf numFmtId="167" fontId="10" fillId="7" borderId="20" xfId="3" applyNumberFormat="1" applyFont="1" applyFill="1" applyBorder="1" applyAlignment="1">
      <alignment horizontal="right"/>
    </xf>
    <xf numFmtId="168" fontId="11" fillId="6" borderId="21" xfId="1" applyNumberFormat="1" applyFont="1" applyBorder="1" applyAlignment="1">
      <alignment horizontal="left"/>
    </xf>
    <xf numFmtId="168" fontId="15" fillId="0" borderId="34" xfId="1" applyNumberFormat="1" applyFont="1" applyFill="1" applyBorder="1" applyAlignment="1"/>
    <xf numFmtId="164" fontId="2" fillId="0" borderId="34" xfId="0" applyNumberFormat="1" applyFont="1" applyBorder="1" applyAlignment="1">
      <alignment horizontal="center"/>
    </xf>
    <xf numFmtId="168" fontId="10" fillId="7" borderId="22" xfId="3" applyNumberFormat="1" applyFont="1" applyFill="1" applyBorder="1" applyAlignment="1">
      <alignment horizontal="right"/>
    </xf>
    <xf numFmtId="168" fontId="11" fillId="6" borderId="31" xfId="1" applyNumberFormat="1" applyFont="1" applyBorder="1" applyAlignment="1">
      <alignment horizontal="left"/>
    </xf>
    <xf numFmtId="168" fontId="15" fillId="0" borderId="35" xfId="1" applyNumberFormat="1" applyFont="1" applyFill="1" applyBorder="1" applyAlignment="1"/>
    <xf numFmtId="164" fontId="2" fillId="0" borderId="35" xfId="0" applyNumberFormat="1" applyFont="1" applyBorder="1" applyAlignment="1">
      <alignment horizontal="center"/>
    </xf>
    <xf numFmtId="168" fontId="10" fillId="7" borderId="32" xfId="3" applyNumberFormat="1" applyFont="1" applyFill="1" applyBorder="1" applyAlignment="1">
      <alignment horizontal="right"/>
    </xf>
    <xf numFmtId="168" fontId="11" fillId="6" borderId="28" xfId="1" applyNumberFormat="1" applyFont="1" applyBorder="1" applyAlignment="1">
      <alignment horizontal="left"/>
    </xf>
    <xf numFmtId="168" fontId="15" fillId="0" borderId="16" xfId="1" applyNumberFormat="1" applyFont="1" applyFill="1" applyBorder="1" applyAlignment="1"/>
    <xf numFmtId="164" fontId="2" fillId="0" borderId="16" xfId="0" applyNumberFormat="1" applyFont="1" applyBorder="1" applyAlignment="1">
      <alignment horizontal="center"/>
    </xf>
    <xf numFmtId="168" fontId="10" fillId="7" borderId="29" xfId="3" applyNumberFormat="1" applyFont="1" applyFill="1" applyBorder="1" applyAlignment="1">
      <alignment horizontal="right"/>
    </xf>
    <xf numFmtId="167" fontId="11" fillId="6" borderId="17" xfId="1" applyNumberFormat="1" applyFont="1" applyBorder="1" applyAlignment="1">
      <alignment horizontal="left"/>
    </xf>
    <xf numFmtId="167" fontId="10" fillId="7" borderId="18" xfId="3" applyNumberFormat="1" applyFont="1" applyFill="1" applyBorder="1" applyAlignment="1">
      <alignment horizontal="right"/>
    </xf>
    <xf numFmtId="167" fontId="11" fillId="6" borderId="21" xfId="1" applyNumberFormat="1" applyFont="1" applyBorder="1" applyAlignment="1">
      <alignment horizontal="left"/>
    </xf>
    <xf numFmtId="167" fontId="10" fillId="7" borderId="22" xfId="3" applyNumberFormat="1" applyFont="1" applyFill="1" applyBorder="1" applyAlignment="1">
      <alignment horizontal="right"/>
    </xf>
    <xf numFmtId="0" fontId="1" fillId="4" borderId="27" xfId="0" applyFont="1" applyFill="1" applyBorder="1"/>
    <xf numFmtId="0" fontId="2" fillId="2" borderId="36" xfId="0" applyFont="1" applyFill="1" applyBorder="1"/>
    <xf numFmtId="0" fontId="2" fillId="2" borderId="37" xfId="0" applyFont="1" applyFill="1" applyBorder="1"/>
    <xf numFmtId="0" fontId="2" fillId="2" borderId="37" xfId="0" applyFont="1" applyFill="1" applyBorder="1" applyAlignment="1">
      <alignment horizontal="left"/>
    </xf>
    <xf numFmtId="0" fontId="2" fillId="2" borderId="38" xfId="0" applyFont="1" applyFill="1" applyBorder="1"/>
    <xf numFmtId="0" fontId="2" fillId="2" borderId="39" xfId="0" applyFont="1" applyFill="1" applyBorder="1"/>
    <xf numFmtId="22" fontId="8" fillId="4" borderId="14" xfId="0" applyNumberFormat="1" applyFont="1" applyFill="1" applyBorder="1"/>
    <xf numFmtId="19" fontId="4" fillId="2" borderId="18" xfId="0" applyNumberFormat="1" applyFont="1" applyFill="1" applyBorder="1"/>
    <xf numFmtId="19" fontId="4" fillId="2" borderId="20" xfId="0" applyNumberFormat="1" applyFont="1" applyFill="1" applyBorder="1"/>
    <xf numFmtId="19" fontId="4" fillId="2" borderId="22" xfId="0" applyNumberFormat="1" applyFont="1" applyFill="1" applyBorder="1"/>
    <xf numFmtId="19" fontId="4" fillId="2" borderId="32" xfId="0" applyNumberFormat="1" applyFont="1" applyFill="1" applyBorder="1"/>
    <xf numFmtId="19" fontId="4" fillId="2" borderId="29" xfId="0" applyNumberFormat="1" applyFont="1" applyFill="1" applyBorder="1"/>
    <xf numFmtId="0" fontId="17" fillId="0" borderId="0" xfId="0" applyFont="1" applyAlignment="1">
      <alignment horizontal="center" wrapText="1"/>
    </xf>
    <xf numFmtId="0" fontId="17" fillId="0" borderId="7" xfId="0" applyFont="1" applyBorder="1" applyAlignment="1">
      <alignment horizontal="right" wrapText="1"/>
    </xf>
    <xf numFmtId="0" fontId="17" fillId="0" borderId="8" xfId="0" applyFont="1" applyBorder="1" applyAlignment="1">
      <alignment horizontal="left" wrapText="1"/>
    </xf>
    <xf numFmtId="1" fontId="17" fillId="0" borderId="8" xfId="0" applyNumberFormat="1" applyFont="1" applyBorder="1" applyAlignment="1">
      <alignment horizontal="center" wrapText="1"/>
    </xf>
    <xf numFmtId="165" fontId="17" fillId="0" borderId="8" xfId="0" applyNumberFormat="1" applyFont="1" applyBorder="1" applyAlignment="1">
      <alignment horizontal="center" wrapText="1"/>
    </xf>
    <xf numFmtId="0" fontId="17" fillId="0" borderId="8" xfId="0" applyFont="1" applyBorder="1" applyAlignment="1">
      <alignment horizontal="center" wrapText="1"/>
    </xf>
    <xf numFmtId="168" fontId="17" fillId="0" borderId="8" xfId="0" applyNumberFormat="1" applyFont="1" applyBorder="1"/>
    <xf numFmtId="169" fontId="17" fillId="9" borderId="11" xfId="0" applyNumberFormat="1" applyFont="1" applyFill="1" applyBorder="1"/>
    <xf numFmtId="2" fontId="17" fillId="0" borderId="42" xfId="2" applyNumberFormat="1" applyFont="1" applyFill="1" applyBorder="1" applyAlignment="1"/>
    <xf numFmtId="2" fontId="17" fillId="0" borderId="3" xfId="0" applyNumberFormat="1" applyFont="1" applyBorder="1"/>
    <xf numFmtId="0" fontId="17" fillId="0" borderId="0" xfId="0" applyFont="1"/>
    <xf numFmtId="0" fontId="5" fillId="0" borderId="7" xfId="0" applyFont="1" applyBorder="1"/>
    <xf numFmtId="0" fontId="5" fillId="0" borderId="8" xfId="0" applyFont="1" applyBorder="1" applyAlignment="1">
      <alignment horizontal="right"/>
    </xf>
    <xf numFmtId="0" fontId="5" fillId="0" borderId="8" xfId="0" applyFont="1" applyBorder="1" applyAlignment="1">
      <alignment horizontal="left"/>
    </xf>
    <xf numFmtId="1" fontId="5" fillId="0" borderId="8" xfId="0" applyNumberFormat="1" applyFont="1" applyBorder="1" applyAlignment="1">
      <alignment vertical="center" wrapText="1"/>
    </xf>
    <xf numFmtId="165" fontId="5" fillId="0" borderId="8" xfId="0" applyNumberFormat="1" applyFont="1" applyBorder="1" applyAlignment="1">
      <alignment vertical="center" wrapText="1"/>
    </xf>
    <xf numFmtId="8" fontId="5" fillId="0" borderId="8" xfId="0" applyNumberFormat="1" applyFont="1" applyBorder="1" applyAlignment="1">
      <alignment vertical="center" wrapText="1"/>
    </xf>
    <xf numFmtId="168" fontId="5" fillId="0" borderId="8" xfId="0" applyNumberFormat="1" applyFont="1" applyBorder="1"/>
    <xf numFmtId="2" fontId="5" fillId="0" borderId="2" xfId="0" applyNumberFormat="1" applyFont="1" applyBorder="1"/>
    <xf numFmtId="2" fontId="5" fillId="0" borderId="14" xfId="0" applyNumberFormat="1" applyFont="1" applyBorder="1"/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1" fontId="5" fillId="0" borderId="0" xfId="0" applyNumberFormat="1" applyFont="1" applyAlignment="1">
      <alignment vertical="center" wrapText="1"/>
    </xf>
    <xf numFmtId="165" fontId="5" fillId="0" borderId="0" xfId="0" applyNumberFormat="1" applyFont="1" applyAlignment="1">
      <alignment vertical="center" wrapText="1"/>
    </xf>
    <xf numFmtId="8" fontId="5" fillId="0" borderId="0" xfId="0" applyNumberFormat="1" applyFont="1" applyAlignment="1">
      <alignment vertical="center" wrapText="1"/>
    </xf>
    <xf numFmtId="168" fontId="5" fillId="0" borderId="0" xfId="0" applyNumberFormat="1" applyFont="1" applyAlignment="1">
      <alignment vertical="center" wrapText="1"/>
    </xf>
    <xf numFmtId="168" fontId="5" fillId="0" borderId="0" xfId="0" applyNumberFormat="1" applyFont="1"/>
    <xf numFmtId="2" fontId="5" fillId="0" borderId="12" xfId="0" applyNumberFormat="1" applyFont="1" applyBorder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169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165" fontId="5" fillId="0" borderId="0" xfId="0" applyNumberFormat="1" applyFont="1"/>
    <xf numFmtId="168" fontId="17" fillId="0" borderId="3" xfId="0" applyNumberFormat="1" applyFont="1" applyBorder="1" applyAlignment="1">
      <alignment horizontal="center" wrapText="1"/>
    </xf>
    <xf numFmtId="169" fontId="5" fillId="9" borderId="44" xfId="0" applyNumberFormat="1" applyFont="1" applyFill="1" applyBorder="1"/>
    <xf numFmtId="169" fontId="5" fillId="9" borderId="45" xfId="0" applyNumberFormat="1" applyFont="1" applyFill="1" applyBorder="1"/>
    <xf numFmtId="169" fontId="5" fillId="9" borderId="46" xfId="0" applyNumberFormat="1" applyFont="1" applyFill="1" applyBorder="1"/>
    <xf numFmtId="8" fontId="5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1" fontId="5" fillId="0" borderId="0" xfId="0" applyNumberFormat="1" applyFont="1" applyBorder="1" applyAlignment="1">
      <alignment vertical="center" wrapText="1"/>
    </xf>
    <xf numFmtId="165" fontId="5" fillId="0" borderId="0" xfId="0" applyNumberFormat="1" applyFont="1" applyBorder="1" applyAlignment="1">
      <alignment vertical="center" wrapText="1"/>
    </xf>
    <xf numFmtId="0" fontId="5" fillId="0" borderId="0" xfId="0" applyFont="1" applyBorder="1"/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168" fontId="5" fillId="0" borderId="0" xfId="0" applyNumberFormat="1" applyFont="1" applyBorder="1" applyAlignment="1">
      <alignment vertical="center" wrapText="1"/>
    </xf>
    <xf numFmtId="169" fontId="5" fillId="0" borderId="0" xfId="0" applyNumberFormat="1" applyFont="1" applyBorder="1"/>
    <xf numFmtId="2" fontId="5" fillId="0" borderId="0" xfId="0" applyNumberFormat="1" applyFont="1" applyBorder="1"/>
    <xf numFmtId="170" fontId="4" fillId="0" borderId="40" xfId="0" applyNumberFormat="1" applyFont="1" applyBorder="1"/>
    <xf numFmtId="170" fontId="4" fillId="0" borderId="25" xfId="0" applyNumberFormat="1" applyFont="1" applyBorder="1"/>
    <xf numFmtId="170" fontId="4" fillId="0" borderId="41" xfId="0" applyNumberFormat="1" applyFont="1" applyBorder="1"/>
    <xf numFmtId="0" fontId="2" fillId="3" borderId="0" xfId="0" applyFont="1" applyFill="1" applyBorder="1" applyAlignment="1">
      <alignment vertical="center"/>
    </xf>
    <xf numFmtId="0" fontId="4" fillId="3" borderId="0" xfId="0" applyFont="1" applyFill="1" applyAlignment="1">
      <alignment horizontal="center"/>
    </xf>
    <xf numFmtId="0" fontId="4" fillId="3" borderId="43" xfId="0" applyFont="1" applyFill="1" applyBorder="1" applyAlignment="1">
      <alignment horizontal="center"/>
    </xf>
    <xf numFmtId="0" fontId="2" fillId="3" borderId="10" xfId="0" applyFont="1" applyFill="1" applyBorder="1"/>
    <xf numFmtId="0" fontId="2" fillId="3" borderId="10" xfId="0" applyFont="1" applyFill="1" applyBorder="1" applyAlignment="1"/>
    <xf numFmtId="0" fontId="2" fillId="3" borderId="10" xfId="0" applyFont="1" applyFill="1" applyBorder="1" applyAlignment="1">
      <alignment horizontal="right"/>
    </xf>
    <xf numFmtId="0" fontId="4" fillId="9" borderId="0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right"/>
    </xf>
    <xf numFmtId="0" fontId="2" fillId="1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170" fontId="2" fillId="3" borderId="10" xfId="0" applyNumberFormat="1" applyFont="1" applyFill="1" applyBorder="1" applyAlignment="1">
      <alignment horizontal="left"/>
    </xf>
    <xf numFmtId="2" fontId="4" fillId="9" borderId="0" xfId="0" applyNumberFormat="1" applyFont="1" applyFill="1" applyBorder="1" applyAlignment="1">
      <alignment horizontal="center"/>
    </xf>
    <xf numFmtId="10" fontId="4" fillId="9" borderId="0" xfId="0" applyNumberFormat="1" applyFont="1" applyFill="1" applyBorder="1" applyAlignment="1">
      <alignment horizontal="center"/>
    </xf>
    <xf numFmtId="171" fontId="4" fillId="9" borderId="0" xfId="0" applyNumberFormat="1" applyFont="1" applyFill="1" applyBorder="1" applyAlignment="1">
      <alignment horizontal="center"/>
    </xf>
    <xf numFmtId="170" fontId="2" fillId="12" borderId="10" xfId="0" applyNumberFormat="1" applyFont="1" applyFill="1" applyBorder="1" applyAlignment="1">
      <alignment horizontal="center"/>
    </xf>
    <xf numFmtId="0" fontId="13" fillId="5" borderId="0" xfId="0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center"/>
    </xf>
    <xf numFmtId="164" fontId="8" fillId="4" borderId="7" xfId="0" applyNumberFormat="1" applyFont="1" applyFill="1" applyBorder="1" applyAlignment="1">
      <alignment horizontal="left"/>
    </xf>
    <xf numFmtId="164" fontId="8" fillId="4" borderId="8" xfId="0" applyNumberFormat="1" applyFont="1" applyFill="1" applyBorder="1" applyAlignment="1">
      <alignment horizontal="left"/>
    </xf>
    <xf numFmtId="164" fontId="8" fillId="4" borderId="9" xfId="0" applyNumberFormat="1" applyFont="1" applyFill="1" applyBorder="1" applyAlignment="1">
      <alignment horizontal="left"/>
    </xf>
    <xf numFmtId="164" fontId="8" fillId="4" borderId="7" xfId="0" applyNumberFormat="1" applyFont="1" applyFill="1" applyBorder="1" applyAlignment="1">
      <alignment horizontal="right"/>
    </xf>
    <xf numFmtId="164" fontId="8" fillId="4" borderId="8" xfId="0" applyNumberFormat="1" applyFont="1" applyFill="1" applyBorder="1" applyAlignment="1">
      <alignment horizontal="right"/>
    </xf>
    <xf numFmtId="164" fontId="8" fillId="4" borderId="9" xfId="0" applyNumberFormat="1" applyFont="1" applyFill="1" applyBorder="1" applyAlignment="1">
      <alignment horizontal="right"/>
    </xf>
    <xf numFmtId="0" fontId="1" fillId="4" borderId="7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10" fontId="1" fillId="4" borderId="14" xfId="0" applyNumberFormat="1" applyFont="1" applyFill="1" applyBorder="1" applyAlignment="1">
      <alignment horizontal="center" vertical="center" textRotation="90"/>
    </xf>
    <xf numFmtId="10" fontId="1" fillId="4" borderId="12" xfId="0" applyNumberFormat="1" applyFont="1" applyFill="1" applyBorder="1" applyAlignment="1">
      <alignment horizontal="center" vertical="center" textRotation="90"/>
    </xf>
    <xf numFmtId="10" fontId="1" fillId="4" borderId="13" xfId="0" applyNumberFormat="1" applyFont="1" applyFill="1" applyBorder="1" applyAlignment="1">
      <alignment horizontal="center" vertical="center" textRotation="90"/>
    </xf>
    <xf numFmtId="164" fontId="2" fillId="0" borderId="3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2" xfId="0" applyFont="1" applyFill="1" applyBorder="1" applyAlignment="1">
      <alignment horizontal="center" vertical="center" textRotation="90"/>
    </xf>
    <xf numFmtId="0" fontId="1" fillId="4" borderId="13" xfId="0" applyFont="1" applyFill="1" applyBorder="1" applyAlignment="1">
      <alignment horizontal="center" vertical="center" textRotation="90"/>
    </xf>
    <xf numFmtId="164" fontId="2" fillId="0" borderId="16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6" fontId="1" fillId="4" borderId="14" xfId="0" applyNumberFormat="1" applyFont="1" applyFill="1" applyBorder="1" applyAlignment="1">
      <alignment horizontal="center" vertical="center" textRotation="90"/>
    </xf>
    <xf numFmtId="166" fontId="1" fillId="4" borderId="12" xfId="0" applyNumberFormat="1" applyFont="1" applyFill="1" applyBorder="1" applyAlignment="1">
      <alignment horizontal="center" vertical="center" textRotation="90"/>
    </xf>
    <xf numFmtId="166" fontId="1" fillId="4" borderId="13" xfId="0" applyNumberFormat="1" applyFont="1" applyFill="1" applyBorder="1" applyAlignment="1">
      <alignment horizontal="center" vertical="center" textRotation="90"/>
    </xf>
    <xf numFmtId="8" fontId="1" fillId="4" borderId="14" xfId="0" applyNumberFormat="1" applyFont="1" applyFill="1" applyBorder="1" applyAlignment="1">
      <alignment horizontal="center" vertical="center" textRotation="90"/>
    </xf>
    <xf numFmtId="8" fontId="1" fillId="4" borderId="12" xfId="0" applyNumberFormat="1" applyFont="1" applyFill="1" applyBorder="1" applyAlignment="1">
      <alignment horizontal="center" vertical="center" textRotation="90"/>
    </xf>
    <xf numFmtId="8" fontId="1" fillId="4" borderId="13" xfId="0" applyNumberFormat="1" applyFont="1" applyFill="1" applyBorder="1" applyAlignment="1">
      <alignment horizontal="center" vertical="center" textRotation="90"/>
    </xf>
    <xf numFmtId="0" fontId="2" fillId="3" borderId="10" xfId="0" applyFont="1" applyFill="1" applyBorder="1" applyAlignment="1">
      <alignment horizontal="center"/>
    </xf>
    <xf numFmtId="0" fontId="2" fillId="10" borderId="43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42" xfId="0" applyFont="1" applyFill="1" applyBorder="1" applyAlignment="1">
      <alignment horizontal="center"/>
    </xf>
    <xf numFmtId="172" fontId="18" fillId="12" borderId="10" xfId="0" applyNumberFormat="1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/>
    </xf>
    <xf numFmtId="0" fontId="2" fillId="11" borderId="5" xfId="0" applyFont="1" applyFill="1" applyBorder="1" applyAlignment="1">
      <alignment horizontal="center"/>
    </xf>
    <xf numFmtId="0" fontId="2" fillId="11" borderId="4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19" fillId="2" borderId="10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172" fontId="2" fillId="12" borderId="10" xfId="0" applyNumberFormat="1" applyFont="1" applyFill="1" applyBorder="1" applyAlignment="1">
      <alignment horizontal="center" vertical="center"/>
    </xf>
    <xf numFmtId="0" fontId="17" fillId="0" borderId="43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2" xfId="0" applyFont="1" applyBorder="1" applyAlignment="1">
      <alignment horizontal="center"/>
    </xf>
  </cellXfs>
  <cellStyles count="4">
    <cellStyle name="Bad" xfId="3" builtinId="27"/>
    <cellStyle name="Good" xfId="1" builtinId="26"/>
    <cellStyle name="Hyperlink" xfId="2" builtinId="8"/>
    <cellStyle name="Normal" xfId="0" builtinId="0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CCCC"/>
      <color rgb="FFFF7C80"/>
      <color rgb="FFFFFFCC"/>
      <color rgb="FFFF9999"/>
      <color rgb="FFE4BAFE"/>
      <color rgb="FF920000"/>
      <color rgb="FFFFB3B5"/>
      <color rgb="FFFFFBEF"/>
      <color rgb="FFD696FE"/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76200</xdr:colOff>
      <xdr:row>8</xdr:row>
      <xdr:rowOff>68580</xdr:rowOff>
    </xdr:from>
    <xdr:to>
      <xdr:col>29</xdr:col>
      <xdr:colOff>220980</xdr:colOff>
      <xdr:row>13</xdr:row>
      <xdr:rowOff>160020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40E2A7F-405F-43BE-A1CF-B66E2D3EAB1D}"/>
            </a:ext>
          </a:extLst>
        </xdr:cNvPr>
        <xdr:cNvSpPr/>
      </xdr:nvSpPr>
      <xdr:spPr>
        <a:xfrm>
          <a:off x="8382000" y="1226820"/>
          <a:ext cx="3268980" cy="1005840"/>
        </a:xfrm>
        <a:prstGeom prst="roundRect">
          <a:avLst/>
        </a:prstGeom>
        <a:ln w="76200">
          <a:solidFill>
            <a:schemeClr val="accent2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Fill in your brokers margin % requirements.</a:t>
          </a:r>
        </a:p>
        <a:p>
          <a:pPr algn="ctr"/>
          <a:endParaRPr lang="en-US" sz="1100"/>
        </a:p>
      </xdr:txBody>
    </xdr:sp>
    <xdr:clientData/>
  </xdr:twoCellAnchor>
  <xdr:twoCellAnchor>
    <xdr:from>
      <xdr:col>21</xdr:col>
      <xdr:colOff>243840</xdr:colOff>
      <xdr:row>13</xdr:row>
      <xdr:rowOff>144780</xdr:rowOff>
    </xdr:from>
    <xdr:to>
      <xdr:col>24</xdr:col>
      <xdr:colOff>449580</xdr:colOff>
      <xdr:row>15</xdr:row>
      <xdr:rowOff>121920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4C87D783-FC63-4779-829D-C50EA8DAC828}"/>
            </a:ext>
          </a:extLst>
        </xdr:cNvPr>
        <xdr:cNvSpPr/>
      </xdr:nvSpPr>
      <xdr:spPr>
        <a:xfrm rot="20050073">
          <a:off x="7193280" y="2217420"/>
          <a:ext cx="1562100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</xdr:col>
      <xdr:colOff>38100</xdr:colOff>
      <xdr:row>25</xdr:row>
      <xdr:rowOff>106680</xdr:rowOff>
    </xdr:from>
    <xdr:to>
      <xdr:col>29</xdr:col>
      <xdr:colOff>182880</xdr:colOff>
      <xdr:row>32</xdr:row>
      <xdr:rowOff>175260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C9ED4036-26E9-4DCA-9BFB-EB61CFFE2BEF}"/>
            </a:ext>
          </a:extLst>
        </xdr:cNvPr>
        <xdr:cNvSpPr/>
      </xdr:nvSpPr>
      <xdr:spPr>
        <a:xfrm>
          <a:off x="8343900" y="4373880"/>
          <a:ext cx="3268980" cy="1348740"/>
        </a:xfrm>
        <a:prstGeom prst="roundRect">
          <a:avLst/>
        </a:prstGeom>
        <a:ln w="76200">
          <a:solidFill>
            <a:schemeClr val="accent2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Not to be used for trend direction</a:t>
          </a:r>
          <a:r>
            <a:rPr lang="en-US" sz="1100" baseline="0"/>
            <a:t> or strength.</a:t>
          </a:r>
        </a:p>
        <a:p>
          <a:pPr algn="ctr"/>
          <a:endParaRPr lang="en-US" sz="1100" baseline="0"/>
        </a:p>
        <a:p>
          <a:pPr algn="ctr"/>
          <a:r>
            <a:rPr lang="en-US" sz="1100" baseline="0"/>
            <a:t>Measures distance of current price from </a:t>
          </a:r>
        </a:p>
        <a:p>
          <a:pPr algn="ctr"/>
          <a:r>
            <a:rPr lang="en-US" sz="1100" baseline="0"/>
            <a:t>todays high/low</a:t>
          </a:r>
          <a:endParaRPr lang="en-US" sz="1100"/>
        </a:p>
        <a:p>
          <a:pPr algn="ctr"/>
          <a:endParaRPr lang="en-US" sz="1100"/>
        </a:p>
      </xdr:txBody>
    </xdr:sp>
    <xdr:clientData/>
  </xdr:twoCellAnchor>
  <xdr:twoCellAnchor>
    <xdr:from>
      <xdr:col>16</xdr:col>
      <xdr:colOff>510541</xdr:colOff>
      <xdr:row>22</xdr:row>
      <xdr:rowOff>68580</xdr:rowOff>
    </xdr:from>
    <xdr:to>
      <xdr:col>25</xdr:col>
      <xdr:colOff>579121</xdr:colOff>
      <xdr:row>24</xdr:row>
      <xdr:rowOff>45720</xdr:rowOff>
    </xdr:to>
    <xdr:sp macro="" textlink="">
      <xdr:nvSpPr>
        <xdr:cNvPr id="6" name="Arrow: Left 5">
          <a:extLst>
            <a:ext uri="{FF2B5EF4-FFF2-40B4-BE49-F238E27FC236}">
              <a16:creationId xmlns:a16="http://schemas.microsoft.com/office/drawing/2014/main" id="{F8CFF563-F515-422C-97F6-B17D8E5DFB7C}"/>
            </a:ext>
          </a:extLst>
        </xdr:cNvPr>
        <xdr:cNvSpPr/>
      </xdr:nvSpPr>
      <xdr:spPr>
        <a:xfrm rot="970245">
          <a:off x="5867401" y="3787140"/>
          <a:ext cx="3642360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556260</xdr:colOff>
      <xdr:row>11</xdr:row>
      <xdr:rowOff>30480</xdr:rowOff>
    </xdr:from>
    <xdr:to>
      <xdr:col>13</xdr:col>
      <xdr:colOff>167640</xdr:colOff>
      <xdr:row>16</xdr:row>
      <xdr:rowOff>121920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51B0369-3B2D-4C6F-BEDA-F2F5A60BAD6A}"/>
            </a:ext>
          </a:extLst>
        </xdr:cNvPr>
        <xdr:cNvSpPr/>
      </xdr:nvSpPr>
      <xdr:spPr>
        <a:xfrm>
          <a:off x="4823460" y="2042160"/>
          <a:ext cx="3268980" cy="1005840"/>
        </a:xfrm>
        <a:prstGeom prst="roundRect">
          <a:avLst/>
        </a:prstGeom>
        <a:ln w="76200">
          <a:solidFill>
            <a:schemeClr val="accent2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Fill in Currency Pair and Lot Size</a:t>
          </a:r>
        </a:p>
        <a:p>
          <a:pPr algn="ctr"/>
          <a:endParaRPr lang="en-US" sz="1100"/>
        </a:p>
      </xdr:txBody>
    </xdr:sp>
    <xdr:clientData/>
  </xdr:twoCellAnchor>
  <xdr:twoCellAnchor>
    <xdr:from>
      <xdr:col>4</xdr:col>
      <xdr:colOff>391640</xdr:colOff>
      <xdr:row>7</xdr:row>
      <xdr:rowOff>84819</xdr:rowOff>
    </xdr:from>
    <xdr:to>
      <xdr:col>8</xdr:col>
      <xdr:colOff>366348</xdr:colOff>
      <xdr:row>9</xdr:row>
      <xdr:rowOff>61959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6F3C726D-4818-4900-9F4B-5D504F151C64}"/>
            </a:ext>
          </a:extLst>
        </xdr:cNvPr>
        <xdr:cNvSpPr/>
      </xdr:nvSpPr>
      <xdr:spPr>
        <a:xfrm rot="1508175">
          <a:off x="2830040" y="1364979"/>
          <a:ext cx="2413108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193684</xdr:colOff>
      <xdr:row>13</xdr:row>
      <xdr:rowOff>11378</xdr:rowOff>
    </xdr:from>
    <xdr:to>
      <xdr:col>8</xdr:col>
      <xdr:colOff>240456</xdr:colOff>
      <xdr:row>14</xdr:row>
      <xdr:rowOff>171398</xdr:rowOff>
    </xdr:to>
    <xdr:sp macro="" textlink="">
      <xdr:nvSpPr>
        <xdr:cNvPr id="4" name="Arrow: Left 3">
          <a:extLst>
            <a:ext uri="{FF2B5EF4-FFF2-40B4-BE49-F238E27FC236}">
              <a16:creationId xmlns:a16="http://schemas.microsoft.com/office/drawing/2014/main" id="{05043289-234E-4E91-9A11-AEB8896ED525}"/>
            </a:ext>
          </a:extLst>
        </xdr:cNvPr>
        <xdr:cNvSpPr/>
      </xdr:nvSpPr>
      <xdr:spPr>
        <a:xfrm rot="916917">
          <a:off x="2022484" y="2388818"/>
          <a:ext cx="3094772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12fa85d1527a9d0/Trading/2%20Axiom%20Work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Trade Process"/>
      <sheetName val="Compound Calculator"/>
      <sheetName val="Computer Setups"/>
      <sheetName val="Visual Playbook"/>
      <sheetName val="Fundamentals"/>
      <sheetName val="Account Performance"/>
      <sheetName val="Currency Performance"/>
      <sheetName val="Todays Performance"/>
      <sheetName val="Open Performance"/>
      <sheetName val="Closed Performance"/>
      <sheetName val="Analytics - Time"/>
      <sheetName val="Analytics - Counts"/>
      <sheetName val="Analytics Log - Live"/>
      <sheetName val="Trade Axiom"/>
      <sheetName val="Trade Axiom - Alpha"/>
      <sheetName val="Trade Axiom - Order Entry"/>
      <sheetName val="Trade Axiom - Calculation"/>
      <sheetName val="Trade Axiom - Pricing"/>
      <sheetName val="Trade Axiom - Market"/>
      <sheetName val="Trade Axiom - OE AX PR CA"/>
      <sheetName val="Daily Play"/>
      <sheetName val="Algo M5"/>
      <sheetName val="Algo D1"/>
      <sheetName val="Tax Calculator"/>
      <sheetName val="Currency Basket"/>
      <sheetName val="Backtesting"/>
      <sheetName val="Indicators"/>
      <sheetName val="Settings"/>
      <sheetName val="Data - Fundamental"/>
      <sheetName val="Data - Data Feed"/>
      <sheetName val="Data - DDE"/>
      <sheetName val="Data - Pair Specs"/>
      <sheetName val="Data - Pricing"/>
      <sheetName val="Data - Pip Values"/>
      <sheetName val="Account Export - Real History"/>
      <sheetName val="Account Export - Real Live"/>
      <sheetName val="Account Export - Demo Live"/>
      <sheetName val="Account Export - Demo Live AX2"/>
      <sheetName val="Account Export - Demo History"/>
      <sheetName val="Floating Tools"/>
      <sheetName val="EA Logic Flow"/>
      <sheetName val="Data List"/>
      <sheetName val="Trade Creator - Pricing"/>
      <sheetName val="Trade Creator - Calculation"/>
      <sheetName val="Trade Creator"/>
      <sheetName val="Risk Mod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Q2" t="str">
            <v>Suite</v>
          </cell>
        </row>
        <row r="3">
          <cell r="Q3" t="str">
            <v>Analytics</v>
          </cell>
        </row>
        <row r="4">
          <cell r="Q4" t="str">
            <v>MDB</v>
          </cell>
        </row>
        <row r="5">
          <cell r="Q5" t="str">
            <v>Indicators</v>
          </cell>
        </row>
        <row r="6">
          <cell r="Q6" t="str">
            <v>Tools</v>
          </cell>
        </row>
        <row r="7">
          <cell r="Q7" t="str">
            <v>Data</v>
          </cell>
        </row>
        <row r="8">
          <cell r="Q8" t="str">
            <v>Maintenance</v>
          </cell>
        </row>
        <row r="9">
          <cell r="Q9" t="str">
            <v>WIP</v>
          </cell>
        </row>
        <row r="10">
          <cell r="Q10" t="str">
            <v>_____MasterList</v>
          </cell>
        </row>
      </sheetData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43979.967361111114</val>
          </value>
        </values>
      </ddeItem>
      <ddeItem name="AUDCHF" advise="1">
        <values>
          <value>
            <val>43979.967361111114</val>
          </value>
        </values>
      </ddeItem>
      <ddeItem name="AUDJPY" advise="1">
        <values>
          <value>
            <val>43979.967361111114</val>
          </value>
        </values>
      </ddeItem>
      <ddeItem name="AUDNZD" advise="1">
        <values>
          <value>
            <val>43979.967361111114</val>
          </value>
        </values>
      </ddeItem>
      <ddeItem name="AUDUSD" advise="1">
        <values>
          <value>
            <val>43979.967361111114</val>
          </value>
        </values>
      </ddeItem>
      <ddeItem name="CADCHF" advise="1">
        <values>
          <value>
            <val>43979.967361111114</val>
          </value>
        </values>
      </ddeItem>
      <ddeItem name="CADJPY" advise="1">
        <values>
          <value>
            <val>43979.967361111114</val>
          </value>
        </values>
      </ddeItem>
      <ddeItem name="CHFJPY" advise="1">
        <values>
          <value>
            <val>43979.967361111114</val>
          </value>
        </values>
      </ddeItem>
      <ddeItem name="EURAUD" advise="1">
        <values>
          <value>
            <val>43979.967361111114</val>
          </value>
        </values>
      </ddeItem>
      <ddeItem name="EURCAD" advise="1">
        <values>
          <value>
            <val>43979.967361111114</val>
          </value>
        </values>
      </ddeItem>
      <ddeItem name="EURCHF" advise="1">
        <values>
          <value>
            <val>43979.96597222222</val>
          </value>
        </values>
      </ddeItem>
      <ddeItem name="EURGBP" advise="1">
        <values>
          <value>
            <val>43979.967361111114</val>
          </value>
        </values>
      </ddeItem>
      <ddeItem name="EURJPY" advise="1">
        <values>
          <value>
            <val>43979.967361111114</val>
          </value>
        </values>
      </ddeItem>
      <ddeItem name="EURNZD" advise="1">
        <values>
          <value>
            <val>43979.967361111114</val>
          </value>
        </values>
      </ddeItem>
      <ddeItem name="EURUSD" advise="1">
        <values>
          <value>
            <val>43979.967361111114</val>
          </value>
        </values>
      </ddeItem>
      <ddeItem name="GBPAUD" advise="1">
        <values>
          <value>
            <val>43979.967361111114</val>
          </value>
        </values>
      </ddeItem>
      <ddeItem name="GBPCAD" advise="1">
        <values>
          <value>
            <val>43979.967361111114</val>
          </value>
        </values>
      </ddeItem>
      <ddeItem name="GBPCHF" advise="1">
        <values>
          <value>
            <val>43979.967361111114</val>
          </value>
        </values>
      </ddeItem>
      <ddeItem name="GBPJPY" advise="1">
        <values>
          <value>
            <val>43979.967361111114</val>
          </value>
        </values>
      </ddeItem>
      <ddeItem name="GBPNZD" advise="1">
        <values>
          <value>
            <val>43979.967361111114</val>
          </value>
        </values>
      </ddeItem>
      <ddeItem name="GBPUSD" advise="1">
        <values>
          <value>
            <val>43979.967361111114</val>
          </value>
        </values>
      </ddeItem>
      <ddeItem name="NZDCAD" advise="1">
        <values>
          <value>
            <val>43979.967361111114</val>
          </value>
        </values>
      </ddeItem>
      <ddeItem name="NZDCHF" advise="1">
        <values>
          <value>
            <val>43979.967361111114</val>
          </value>
        </values>
      </ddeItem>
      <ddeItem name="NZDJPY" advise="1">
        <values>
          <value>
            <val>43979.967361111114</val>
          </value>
        </values>
      </ddeItem>
      <ddeItem name="NZDUSD" advise="1">
        <values>
          <value>
            <val>43979.967361111114</val>
          </value>
        </values>
      </ddeItem>
      <ddeItem name="StdDocumentName" ole="1" advise="1"/>
      <ddeItem name="USDCAD" advise="1">
        <values>
          <value>
            <val>43979.967361111114</val>
          </value>
        </values>
      </ddeItem>
      <ddeItem name="USDCHF" advise="1">
        <values>
          <value>
            <val>43979.966666666667</val>
          </value>
        </values>
      </ddeItem>
      <ddeItem name="USDJPY" advise="1">
        <values>
          <value>
            <val>43979.967361111114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0.91474</val>
          </value>
        </values>
      </ddeItem>
      <ddeItem name="AUDCHF" advise="1">
        <values>
          <value>
            <val>0.64027999999999996</val>
          </value>
        </values>
      </ddeItem>
      <ddeItem name="AUDJPY" advise="1">
        <values>
          <value>
            <val>71.459999999999994</val>
          </value>
        </values>
      </ddeItem>
      <ddeItem name="AUDNZD" advise="1">
        <values>
          <value>
            <val>1.0686899999999999</val>
          </value>
        </values>
      </ddeItem>
      <ddeItem name="AUDUSD" advise="1">
        <values>
          <value>
            <val>0.66405000000000003</val>
          </value>
        </values>
      </ddeItem>
      <ddeItem name="CADCHF" advise="1">
        <values>
          <value>
            <val>0.69994000000000001</val>
          </value>
        </values>
      </ddeItem>
      <ddeItem name="CADJPY" advise="1">
        <values>
          <value>
            <val>78.111000000000004</val>
          </value>
        </values>
      </ddeItem>
      <ddeItem name="CHFJPY" advise="1">
        <values>
          <value>
            <val>111.586</val>
          </value>
        </values>
      </ddeItem>
      <ddeItem name="EURAUD" advise="1">
        <values>
          <value>
            <val>1.6671499999999999</val>
          </value>
        </values>
      </ddeItem>
      <ddeItem name="EURCAD" advise="1">
        <values>
          <value>
            <val>1.52515</val>
          </value>
        </values>
      </ddeItem>
      <ddeItem name="EURCHF" advise="1">
        <values>
          <value>
            <val>1.06769</val>
          </value>
        </values>
      </ddeItem>
      <ddeItem name="EURGBP" advise="1">
        <values>
          <value>
            <val>0.89866000000000001</val>
          </value>
        </values>
      </ddeItem>
      <ddeItem name="EURJPY" advise="1">
        <values>
          <value>
            <val>119.152</val>
          </value>
        </values>
      </ddeItem>
      <ddeItem name="EURNZD" advise="1">
        <values>
          <value>
            <val>1.7819199999999999</val>
          </value>
        </values>
      </ddeItem>
      <ddeItem name="EURUSD" advise="1">
        <values>
          <value>
            <val>1.1072599999999999</val>
          </value>
        </values>
      </ddeItem>
      <ddeItem name="GBPAUD" advise="1">
        <values>
          <value>
            <val>1.8548800000000001</val>
          </value>
        </values>
      </ddeItem>
      <ddeItem name="GBPCAD" advise="1">
        <values>
          <value>
            <val>1.6968799999999999</val>
          </value>
        </values>
      </ddeItem>
      <ddeItem name="GBPCHF" advise="1">
        <values>
          <value>
            <val>1.1878299999999999</val>
          </value>
        </values>
      </ddeItem>
      <ddeItem name="GBPJPY" advise="1">
        <values>
          <value>
            <val>132.56299999999999</val>
          </value>
        </values>
      </ddeItem>
      <ddeItem name="GBPNZD" advise="1">
        <values>
          <value>
            <val>1.9825200000000001</val>
          </value>
        </values>
      </ddeItem>
      <ddeItem name="GBPUSD" advise="1">
        <values>
          <value>
            <val>1.23193</val>
          </value>
        </values>
      </ddeItem>
      <ddeItem name="NZDCAD" advise="1">
        <values>
          <value>
            <val>0.85572999999999999</val>
          </value>
        </values>
      </ddeItem>
      <ddeItem name="NZDCHF" advise="1">
        <values>
          <value>
            <val>0.59902</val>
          </value>
        </values>
      </ddeItem>
      <ddeItem name="NZDJPY" advise="1">
        <values>
          <value>
            <val>66.846999999999994</val>
          </value>
        </values>
      </ddeItem>
      <ddeItem name="NZDUSD" advise="1">
        <values>
          <value>
            <val>0.62126000000000003</val>
          </value>
        </values>
      </ddeItem>
      <ddeItem name="StdDocumentName" ole="1" advise="1"/>
      <ddeItem name="USDCAD" advise="1">
        <values>
          <value>
            <val>1.3773599999999999</val>
          </value>
        </values>
      </ddeItem>
      <ddeItem name="USDCHF" advise="1">
        <values>
          <value>
            <val>0.96421000000000001</val>
          </value>
        </values>
      </ddeItem>
      <ddeItem name="USDJPY" advise="1">
        <values>
          <value>
            <val>107.602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0.91493000000000002</val>
          </value>
        </values>
      </ddeItem>
      <ddeItem name="AUDCHF" advise="1">
        <values>
          <value>
            <val>0.64054</val>
          </value>
        </values>
      </ddeItem>
      <ddeItem name="AUDJPY" advise="1">
        <values>
          <value>
            <val>71.475999999999999</val>
          </value>
        </values>
      </ddeItem>
      <ddeItem name="AUDNZD" advise="1">
        <values>
          <value>
            <val>1.06904</val>
          </value>
        </values>
      </ddeItem>
      <ddeItem name="AUDUSD" advise="1">
        <values>
          <value>
            <val>0.66420999999999997</val>
          </value>
        </values>
      </ddeItem>
      <ddeItem name="CADCHF" advise="1">
        <values>
          <value>
            <val>0.70016999999999996</val>
          </value>
        </values>
      </ddeItem>
      <ddeItem name="CADJPY" advise="1">
        <values>
          <value>
            <val>78.13</val>
          </value>
        </values>
      </ddeItem>
      <ddeItem name="CHFJPY" advise="1">
        <values>
          <value>
            <val>111.605</val>
          </value>
        </values>
      </ddeItem>
      <ddeItem name="EURAUD" advise="1">
        <values>
          <value>
            <val>1.66743</val>
          </value>
        </values>
      </ddeItem>
      <ddeItem name="EURCAD" advise="1">
        <values>
          <value>
            <val>1.5254399999999999</val>
          </value>
        </values>
      </ddeItem>
      <ddeItem name="EURCHF" advise="1">
        <values>
          <value>
            <val>1.0678799999999999</val>
          </value>
        </values>
      </ddeItem>
      <ddeItem name="EURGBP" advise="1">
        <values>
          <value>
            <val>0.89885000000000004</val>
          </value>
        </values>
      </ddeItem>
      <ddeItem name="EURJPY" advise="1">
        <values>
          <value>
            <val>119.169</val>
          </value>
        </values>
      </ddeItem>
      <ddeItem name="EURNZD" advise="1">
        <values>
          <value>
            <val>1.78251</val>
          </value>
        </values>
      </ddeItem>
      <ddeItem name="EURUSD" advise="1">
        <values>
          <value>
            <val>1.10738</val>
          </value>
        </values>
      </ddeItem>
      <ddeItem name="GBPAUD" advise="1">
        <values>
          <value>
            <val>1.85528</val>
          </value>
        </values>
      </ddeItem>
      <ddeItem name="GBPCAD" advise="1">
        <values>
          <value>
            <val>1.6973199999999999</val>
          </value>
        </values>
      </ddeItem>
      <ddeItem name="GBPCHF" advise="1">
        <values>
          <value>
            <val>1.18818</val>
          </value>
        </values>
      </ddeItem>
      <ddeItem name="GBPJPY" advise="1">
        <values>
          <value>
            <val>132.59399999999999</val>
          </value>
        </values>
      </ddeItem>
      <ddeItem name="GBPNZD" advise="1">
        <values>
          <value>
            <val>1.9831799999999999</val>
          </value>
        </values>
      </ddeItem>
      <ddeItem name="GBPUSD" advise="1">
        <values>
          <value>
            <val>1.2321200000000001</val>
          </value>
        </values>
      </ddeItem>
      <ddeItem name="NZDCAD" advise="1">
        <values>
          <value>
            <val>0.85604000000000002</val>
          </value>
        </values>
      </ddeItem>
      <ddeItem name="NZDCHF" advise="1">
        <values>
          <value>
            <val>0.59930000000000005</val>
          </value>
        </values>
      </ddeItem>
      <ddeItem name="NZDJPY" advise="1">
        <values>
          <value>
            <val>66.873999999999995</val>
          </value>
        </values>
      </ddeItem>
      <ddeItem name="NZDUSD" advise="1">
        <values>
          <value>
            <val>0.62144999999999995</val>
          </value>
        </values>
      </ddeItem>
      <ddeItem name="StdDocumentName" ole="1" advise="1"/>
      <ddeItem name="USDCAD" advise="1">
        <values>
          <value>
            <val>1.3775599999999999</val>
          </value>
        </values>
      </ddeItem>
      <ddeItem name="USDCHF" advise="1">
        <values>
          <value>
            <val>0.96435999999999999</val>
          </value>
        </values>
      </ddeItem>
      <ddeItem name="USDJPY" advise="1">
        <values>
          <value>
            <val>107.614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0.90776000000000001</val>
          </value>
        </values>
      </ddeItem>
      <ddeItem name="AUDCHF" advise="1">
        <values>
          <value>
            <val>0.63812000000000002</val>
          </value>
        </values>
      </ddeItem>
      <ddeItem name="AUDJPY" advise="1">
        <values>
          <value>
            <val>71.007999999999996</val>
          </value>
        </values>
      </ddeItem>
      <ddeItem name="AUDNZD" advise="1">
        <values>
          <value>
            <val>1.0666100000000001</val>
          </value>
        </values>
      </ddeItem>
      <ddeItem name="AUDUSD" advise="1">
        <values>
          <value>
            <val>0.65878000000000003</val>
          </value>
        </values>
      </ddeItem>
      <ddeItem name="CADCHF" advise="1">
        <values>
          <value>
            <val>0.69923000000000002</val>
          </value>
        </values>
      </ddeItem>
      <ddeItem name="CADJPY" advise="1">
        <values>
          <value>
            <val>78.031000000000006</val>
          </value>
        </values>
      </ddeItem>
      <ddeItem name="CHFJPY" advise="1">
        <values>
          <value>
            <val>110.79600000000001</val>
          </value>
        </values>
      </ddeItem>
      <ddeItem name="EURAUD" advise="1">
        <values>
          <value>
            <val>1.6585300000000001</val>
          </value>
        </values>
      </ddeItem>
      <ddeItem name="EURCAD" advise="1">
        <values>
          <value>
            <val>1.5124899999999999</val>
          </value>
        </values>
      </ddeItem>
      <ddeItem name="EURCHF" advise="1">
        <values>
          <value>
            <val>1.06481</val>
          </value>
        </values>
      </ddeItem>
      <ddeItem name="EURGBP" advise="1">
        <values>
          <value>
            <val>0.89627000000000001</val>
          </value>
        </values>
      </ddeItem>
      <ddeItem name="EURJPY" advise="1">
        <values>
          <value>
            <val>118.476</val>
          </value>
        </values>
      </ddeItem>
      <ddeItem name="EURNZD" advise="1">
        <values>
          <value>
            <val>1.7753300000000001</val>
          </value>
        </values>
      </ddeItem>
      <ddeItem name="EURUSD" advise="1">
        <values>
          <value>
            <val>1.0991</val>
          </value>
        </values>
      </ddeItem>
      <ddeItem name="GBPAUD" advise="1">
        <values>
          <value>
            <val>1.8476300000000001</val>
          </value>
        </values>
      </ddeItem>
      <ddeItem name="GBPCAD" advise="1">
        <values>
          <value>
            <val>1.68462</val>
          </value>
        </values>
      </ddeItem>
      <ddeItem name="GBPCHF" advise="1">
        <values>
          <value>
            <val>1.1861299999999999</val>
          </value>
        </values>
      </ddeItem>
      <ddeItem name="GBPJPY" advise="1">
        <values>
          <value>
            <val>131.815</val>
          </value>
        </values>
      </ddeItem>
      <ddeItem name="GBPNZD" advise="1">
        <values>
          <value>
            <val>1.97746</val>
          </value>
        </values>
      </ddeItem>
      <ddeItem name="GBPUSD" advise="1">
        <values>
          <value>
            <val>1.2232799999999999</val>
          </value>
        </values>
      </ddeItem>
      <ddeItem name="NZDCAD" advise="1">
        <values>
          <value>
            <val>0.84882000000000002</val>
          </value>
        </values>
      </ddeItem>
      <ddeItem name="NZDCHF" advise="1">
        <values>
          <value>
            <val>0.59726000000000001</val>
          </value>
        </values>
      </ddeItem>
      <ddeItem name="NZDJPY" advise="1">
        <values>
          <value>
            <val>66.475999999999999</val>
          </value>
        </values>
      </ddeItem>
      <ddeItem name="NZDUSD" advise="1">
        <values>
          <value>
            <val>0.6169</val>
          </value>
        </values>
      </ddeItem>
      <ddeItem name="StdDocumentName" ole="1" advise="1"/>
      <ddeItem name="USDCAD" advise="1">
        <values>
          <value>
            <val>1.37334</val>
          </value>
        </values>
      </ddeItem>
      <ddeItem name="USDCHF" advise="1">
        <values>
          <value>
            <val>0.96296000000000004</val>
          </value>
        </values>
      </ddeItem>
      <ddeItem name="USDJPY" advise="1">
        <values>
          <value>
            <val>107.56399999999999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0.91742000000000001</val>
          </value>
        </values>
      </ddeItem>
      <ddeItem name="AUDCHF" advise="1">
        <values>
          <value>
            <val>0.64454</val>
          </value>
        </values>
      </ddeItem>
      <ddeItem name="AUDJPY" advise="1">
        <values>
          <value>
            <val>71.771000000000001</val>
          </value>
        </values>
      </ddeItem>
      <ddeItem name="AUDNZD" advise="1">
        <values>
          <value>
            <val>1.07135</val>
          </value>
        </values>
      </ddeItem>
      <ddeItem name="AUDUSD" advise="1">
        <values>
          <value>
            <val>0.66668000000000005</val>
          </value>
        </values>
      </ddeItem>
      <ddeItem name="CADCHF" advise="1">
        <values>
          <value>
            <val>0.70530999999999999</val>
          </value>
        </values>
      </ddeItem>
      <ddeItem name="CADJPY" advise="1">
        <values>
          <value>
            <val>78.495999999999995</val>
          </value>
        </values>
      </ddeItem>
      <ddeItem name="CHFJPY" advise="1">
        <values>
          <value>
            <val>111.765</val>
          </value>
        </values>
      </ddeItem>
      <ddeItem name="EURAUD" advise="1">
        <values>
          <value>
            <val>1.67052</val>
          </value>
        </values>
      </ddeItem>
      <ddeItem name="EURCAD" advise="1">
        <values>
          <value>
            <val>1.5271999999999999</val>
          </value>
        </values>
      </ddeItem>
      <ddeItem name="EURCHF" advise="1">
        <values>
          <value>
            <val>1.0697000000000001</val>
          </value>
        </values>
      </ddeItem>
      <ddeItem name="EURGBP" advise="1">
        <values>
          <value>
            <val>0.89934000000000003</val>
          </value>
        </values>
      </ddeItem>
      <ddeItem name="EURJPY" advise="1">
        <values>
          <value>
            <val>119.38500000000001</val>
          </value>
        </values>
      </ddeItem>
      <ddeItem name="EURNZD" advise="1">
        <values>
          <value>
            <val>1.78487</val>
          </value>
        </values>
      </ddeItem>
      <ddeItem name="EURUSD" advise="1">
        <values>
          <value>
            <val>1.10931</val>
          </value>
        </values>
      </ddeItem>
      <ddeItem name="GBPAUD" advise="1">
        <values>
          <value>
            <val>1.8589199999999999</val>
          </value>
        </values>
      </ddeItem>
      <ddeItem name="GBPCAD" advise="1">
        <values>
          <value>
            <val>1.69909</val>
          </value>
        </values>
      </ddeItem>
      <ddeItem name="GBPCHF" advise="1">
        <values>
          <value>
            <val>1.1921299999999999</val>
          </value>
        </values>
      </ddeItem>
      <ddeItem name="GBPJPY" advise="1">
        <values>
          <value>
            <val>132.87</val>
          </value>
        </values>
      </ddeItem>
      <ddeItem name="GBPNZD" advise="1">
        <values>
          <value>
            <val>1.98573</val>
          </value>
        </values>
      </ddeItem>
      <ddeItem name="GBPUSD" advise="1">
        <values>
          <value>
            <val>1.2343500000000001</val>
          </value>
        </values>
      </ddeItem>
      <ddeItem name="NZDCAD" advise="1">
        <values>
          <value>
            <val>0.85696000000000006</val>
          </value>
        </values>
      </ddeItem>
      <ddeItem name="NZDCHF" advise="1">
        <values>
          <value>
            <val>0.60204999999999997</val>
          </value>
        </values>
      </ddeItem>
      <ddeItem name="NZDJPY" advise="1">
        <values>
          <value>
            <val>67.037999999999997</val>
          </value>
        </values>
      </ddeItem>
      <ddeItem name="NZDUSD" advise="1">
        <values>
          <value>
            <val>0.62275999999999998</val>
          </value>
        </values>
      </ddeItem>
      <ddeItem name="StdDocumentName" ole="1" advise="1"/>
      <ddeItem name="USDCAD" advise="1">
        <values>
          <value>
            <val>1.3789100000000001</val>
          </value>
        </values>
      </ddeItem>
      <ddeItem name="USDCHF" advise="1">
        <values>
          <value>
            <val>0.97182000000000002</val>
          </value>
        </values>
      </ddeItem>
      <ddeItem name="USDJPY" advise="1">
        <values>
          <value>
            <val>107.895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631DA-DD3A-420F-937A-B3DCFF472B66}">
  <sheetPr codeName="Sheet44"/>
  <dimension ref="A1:W59"/>
  <sheetViews>
    <sheetView tabSelected="1" zoomScaleNormal="100" workbookViewId="0">
      <selection activeCell="T7" sqref="T7"/>
    </sheetView>
  </sheetViews>
  <sheetFormatPr defaultColWidth="9.109375" defaultRowHeight="14.4" x14ac:dyDescent="0.3"/>
  <cols>
    <col min="1" max="1" width="0.88671875" style="5" customWidth="1"/>
    <col min="2" max="2" width="3.109375" style="22" customWidth="1"/>
    <col min="3" max="3" width="4.21875" style="5" customWidth="1"/>
    <col min="4" max="4" width="9.33203125" style="5" customWidth="1"/>
    <col min="5" max="5" width="2.77734375" style="5" customWidth="1"/>
    <col min="6" max="6" width="8.77734375" style="39" customWidth="1"/>
    <col min="7" max="7" width="9.44140625" style="22" hidden="1" customWidth="1"/>
    <col min="8" max="8" width="4.44140625" style="22" bestFit="1" customWidth="1"/>
    <col min="9" max="9" width="8.77734375" style="5" customWidth="1"/>
    <col min="10" max="10" width="8.77734375" style="46" customWidth="1"/>
    <col min="11" max="11" width="2.77734375" style="56" customWidth="1"/>
    <col min="12" max="12" width="8.33203125" style="59" customWidth="1"/>
    <col min="13" max="13" width="4.33203125" style="60" customWidth="1"/>
    <col min="14" max="14" width="8.33203125" style="61" hidden="1" customWidth="1"/>
    <col min="15" max="15" width="8.33203125" style="61" customWidth="1"/>
    <col min="16" max="16" width="4.33203125" style="114" customWidth="1"/>
    <col min="17" max="17" width="8.33203125" style="50" customWidth="1"/>
    <col min="18" max="18" width="8.33203125" style="50" hidden="1" customWidth="1"/>
    <col min="19" max="19" width="4.33203125" style="57" customWidth="1"/>
    <col min="20" max="20" width="8.33203125" style="58" customWidth="1"/>
    <col min="21" max="21" width="2.77734375" style="22" customWidth="1"/>
    <col min="22" max="22" width="7.33203125" style="5" customWidth="1"/>
    <col min="23" max="23" width="9.6640625" style="5" bestFit="1" customWidth="1"/>
    <col min="24" max="24" width="2.77734375" style="5" customWidth="1"/>
    <col min="25" max="16384" width="9.109375" style="5"/>
  </cols>
  <sheetData>
    <row r="1" spans="1:23" ht="6.6" customHeight="1" x14ac:dyDescent="0.3">
      <c r="A1" s="30"/>
      <c r="B1" s="30"/>
      <c r="F1" s="53"/>
      <c r="G1" s="31"/>
      <c r="H1" s="31"/>
      <c r="I1" s="31"/>
      <c r="K1" s="55"/>
      <c r="P1" s="115"/>
      <c r="Q1" s="71"/>
      <c r="R1" s="71"/>
      <c r="S1" s="72"/>
      <c r="T1" s="73"/>
      <c r="U1" s="31"/>
      <c r="V1" s="31"/>
      <c r="W1" s="31"/>
    </row>
    <row r="2" spans="1:23" ht="6.6" customHeight="1" x14ac:dyDescent="0.3">
      <c r="A2" s="30"/>
      <c r="B2" s="30"/>
      <c r="C2" s="228" t="s">
        <v>54</v>
      </c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</row>
    <row r="3" spans="1:23" ht="14.4" customHeight="1" x14ac:dyDescent="0.3"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</row>
    <row r="4" spans="1:23" ht="6" customHeight="1" x14ac:dyDescent="0.3">
      <c r="C4" s="32"/>
      <c r="D4" s="33"/>
      <c r="E4" s="33"/>
      <c r="F4" s="53"/>
      <c r="G4" s="31"/>
      <c r="H4" s="31"/>
      <c r="I4" s="31"/>
      <c r="K4" s="55"/>
      <c r="L4" s="62"/>
      <c r="M4" s="63"/>
      <c r="N4" s="64"/>
      <c r="O4" s="64"/>
      <c r="P4" s="115"/>
      <c r="Q4" s="71"/>
      <c r="R4" s="71"/>
      <c r="S4" s="72"/>
      <c r="T4" s="73"/>
      <c r="U4" s="31"/>
      <c r="V4" s="31"/>
      <c r="W4" s="31"/>
    </row>
    <row r="5" spans="1:23" ht="14.4" customHeight="1" x14ac:dyDescent="0.3">
      <c r="B5" s="5"/>
      <c r="C5" s="8"/>
      <c r="D5" s="145" t="s">
        <v>37</v>
      </c>
      <c r="E5" s="8"/>
      <c r="F5" s="88" t="s">
        <v>38</v>
      </c>
      <c r="G5" s="75" t="s">
        <v>52</v>
      </c>
      <c r="H5" s="236" t="s">
        <v>41</v>
      </c>
      <c r="I5" s="237"/>
      <c r="J5" s="89" t="s">
        <v>39</v>
      </c>
      <c r="K5" s="84"/>
      <c r="L5" s="88" t="s">
        <v>5</v>
      </c>
      <c r="M5" s="230" t="s">
        <v>51</v>
      </c>
      <c r="N5" s="231"/>
      <c r="O5" s="232"/>
      <c r="P5" s="117" t="s">
        <v>53</v>
      </c>
      <c r="Q5" s="233" t="s">
        <v>51</v>
      </c>
      <c r="R5" s="234"/>
      <c r="S5" s="235"/>
      <c r="T5" s="91" t="s">
        <v>4</v>
      </c>
      <c r="U5" s="8"/>
      <c r="V5" s="90" t="s">
        <v>40</v>
      </c>
      <c r="W5" s="151" t="s">
        <v>42</v>
      </c>
    </row>
    <row r="6" spans="1:23" ht="14.4" customHeight="1" x14ac:dyDescent="0.3">
      <c r="B6" s="239" t="s">
        <v>1</v>
      </c>
      <c r="C6" s="34">
        <v>1</v>
      </c>
      <c r="D6" s="146" t="s">
        <v>6</v>
      </c>
      <c r="E6" s="76"/>
      <c r="F6" s="121">
        <f>IFERROR(VLOOKUP(D6,'Data - Data Feed Market'!$A$2:$F$29,3,FALSE),"")</f>
        <v>1.1072599999999999</v>
      </c>
      <c r="G6" s="122">
        <f t="shared" ref="G6:G33" si="0">(F6+J6)/2</f>
        <v>1.1073200000000001</v>
      </c>
      <c r="H6" s="242">
        <f>AVERAGE(I6:I12)</f>
        <v>1.6142857142858156</v>
      </c>
      <c r="I6" s="123">
        <f>IFERROR(VLOOKUP(D6,'Data - Data Feed Market'!$A$2:$F$29,5,FALSE),"")</f>
        <v>1.2000000000012001</v>
      </c>
      <c r="J6" s="124">
        <f>IFERROR(VLOOKUP(D6,'Data - Data Feed Market'!$A$2:$F$29,4,FALSE),"")</f>
        <v>1.10738</v>
      </c>
      <c r="K6" s="85"/>
      <c r="L6" s="96">
        <f>IFERROR(VLOOKUP(D6,'Data - Data Feed Market'!$A$2:$K$29,10,FALSE),"")</f>
        <v>1.0991</v>
      </c>
      <c r="M6" s="97">
        <f t="shared" ref="M6:M33" si="1">IFERROR(IF(ISNUMBER(SEARCH("JPY",D6)),((G6-L6)*100),((G6-L6)*10000)),"")</f>
        <v>82.200000000001154</v>
      </c>
      <c r="N6" s="92">
        <f t="shared" ref="N6:N33" si="2">1-M6/P6</f>
        <v>0.19490695396669211</v>
      </c>
      <c r="O6" s="92" t="str">
        <f>IFERROR(IF(N6&gt;50%,N6*-1,""),"")</f>
        <v/>
      </c>
      <c r="P6" s="116">
        <f t="shared" ref="P6:P33" si="3">IFERROR(IF(ISNUMBER(SEARCH("JPY",D6)),((T6-L6)*100),((T6-L6)*10000)),"")</f>
        <v>102.10000000000052</v>
      </c>
      <c r="Q6" s="93">
        <f>IFERROR(IF(R6&gt;50%,R6,""),"")</f>
        <v>0.80509304603330789</v>
      </c>
      <c r="R6" s="93">
        <f t="shared" ref="R6:R33" si="4">1-S6/P6</f>
        <v>0.80509304603330789</v>
      </c>
      <c r="S6" s="105">
        <f t="shared" ref="S6:S33" si="5">IFERROR(IF(ISNUMBER(SEARCH("JPY",D6)),((T6-G6)*100),((T6-G6)*10000)),"")</f>
        <v>19.899999999999363</v>
      </c>
      <c r="T6" s="106">
        <f>IFERROR(VLOOKUP(D6,'Data - Data Feed Market'!$A$2:$K$29,11,FALSE),"")</f>
        <v>1.10931</v>
      </c>
      <c r="U6" s="77"/>
      <c r="V6" s="210">
        <v>0.03</v>
      </c>
      <c r="W6" s="152">
        <f>IFERROR(VLOOKUP(D6,'Data - Data Feed Market'!A:K,2,FALSE),"")</f>
        <v>43979.967361111114</v>
      </c>
    </row>
    <row r="7" spans="1:23" x14ac:dyDescent="0.3">
      <c r="B7" s="240"/>
      <c r="C7" s="35">
        <v>2</v>
      </c>
      <c r="D7" s="147" t="s">
        <v>27</v>
      </c>
      <c r="E7" s="2"/>
      <c r="F7" s="125">
        <f>IFERROR(VLOOKUP(D7,'Data - Data Feed Market'!$A$2:$F$29,3,FALSE),"")</f>
        <v>0.96421000000000001</v>
      </c>
      <c r="G7" s="119">
        <f t="shared" si="0"/>
        <v>0.96428500000000006</v>
      </c>
      <c r="H7" s="243"/>
      <c r="I7" s="120">
        <f>IFERROR(VLOOKUP(D7,'Data - Data Feed Market'!$A$2:$F$29,5,FALSE),"")</f>
        <v>1.4999999999998348</v>
      </c>
      <c r="J7" s="126">
        <f>IFERROR(VLOOKUP(D7,'Data - Data Feed Market'!$A$2:$F$29,4,FALSE),"")</f>
        <v>0.96435999999999999</v>
      </c>
      <c r="K7" s="86"/>
      <c r="L7" s="98">
        <f>IFERROR(VLOOKUP(D7,'Data - Data Feed Market'!$A$2:$K$29,10,FALSE),"")</f>
        <v>0.96296000000000004</v>
      </c>
      <c r="M7" s="99">
        <f t="shared" si="1"/>
        <v>13.250000000000206</v>
      </c>
      <c r="N7" s="49">
        <f t="shared" si="2"/>
        <v>0.85045146726862031</v>
      </c>
      <c r="O7" s="49">
        <f>IFERROR(IF(N7&gt;50%,N7*-1,""),"")</f>
        <v>-0.85045146726862031</v>
      </c>
      <c r="P7" s="116">
        <f t="shared" si="3"/>
        <v>88.599999999999795</v>
      </c>
      <c r="Q7" s="74" t="str">
        <f>IFERROR(IF(R7&gt;50%,R7,""),"")</f>
        <v/>
      </c>
      <c r="R7" s="74">
        <f t="shared" si="4"/>
        <v>0.14954853273137969</v>
      </c>
      <c r="S7" s="107">
        <f t="shared" si="5"/>
        <v>75.349999999999582</v>
      </c>
      <c r="T7" s="108">
        <f>IFERROR(VLOOKUP(D7,'Data - Data Feed Market'!$A$2:$K$29,11,FALSE),"")</f>
        <v>0.97182000000000002</v>
      </c>
      <c r="U7" s="51"/>
      <c r="V7" s="211">
        <v>0.02</v>
      </c>
      <c r="W7" s="153">
        <f>IFERROR(VLOOKUP(D7,'Data - Data Feed Market'!A:K,2,FALSE),"")</f>
        <v>43979.966666666667</v>
      </c>
    </row>
    <row r="8" spans="1:23" ht="14.4" customHeight="1" x14ac:dyDescent="0.3">
      <c r="B8" s="240"/>
      <c r="C8" s="35">
        <v>3</v>
      </c>
      <c r="D8" s="148" t="s">
        <v>25</v>
      </c>
      <c r="E8" s="11"/>
      <c r="F8" s="125">
        <f>IFERROR(VLOOKUP(D8,'Data - Data Feed Market'!$A$2:$F$29,3,FALSE),"")</f>
        <v>1.23193</v>
      </c>
      <c r="G8" s="119">
        <f t="shared" si="0"/>
        <v>1.2320250000000001</v>
      </c>
      <c r="H8" s="243"/>
      <c r="I8" s="120">
        <f>IFERROR(VLOOKUP(D8,'Data - Data Feed Market'!$A$2:$F$29,5,FALSE),"")</f>
        <v>1.9000000000013451</v>
      </c>
      <c r="J8" s="126">
        <f>IFERROR(VLOOKUP(D8,'Data - Data Feed Market'!$A$2:$F$29,4,FALSE),"")</f>
        <v>1.2321200000000001</v>
      </c>
      <c r="K8" s="86"/>
      <c r="L8" s="98">
        <f>IFERROR(VLOOKUP(D8,'Data - Data Feed Market'!$A$2:$K$29,10,FALSE),"")</f>
        <v>1.2232799999999999</v>
      </c>
      <c r="M8" s="99">
        <f t="shared" si="1"/>
        <v>87.450000000002248</v>
      </c>
      <c r="N8" s="49">
        <f t="shared" si="2"/>
        <v>0.21002710027099203</v>
      </c>
      <c r="O8" s="49" t="str">
        <f t="shared" ref="O8:O33" si="6">IFERROR(IF(N8&gt;50%,N8*-1,""),"")</f>
        <v/>
      </c>
      <c r="P8" s="116">
        <f t="shared" si="3"/>
        <v>110.70000000000135</v>
      </c>
      <c r="Q8" s="74">
        <f t="shared" ref="Q8:Q33" si="7">IFERROR(IF(R8&gt;50%,R8,""),"")</f>
        <v>0.78997289972900797</v>
      </c>
      <c r="R8" s="74">
        <f t="shared" si="4"/>
        <v>0.78997289972900797</v>
      </c>
      <c r="S8" s="107">
        <f t="shared" si="5"/>
        <v>23.249999999999105</v>
      </c>
      <c r="T8" s="108">
        <f>IFERROR(VLOOKUP(D8,'Data - Data Feed Market'!$A$2:$K$29,11,FALSE),"")</f>
        <v>1.2343500000000001</v>
      </c>
      <c r="U8" s="51"/>
      <c r="V8" s="211">
        <v>0.03</v>
      </c>
      <c r="W8" s="153">
        <f>IFERROR(VLOOKUP(D8,'Data - Data Feed Market'!A:K,2,FALSE),"")</f>
        <v>43979.967361111114</v>
      </c>
    </row>
    <row r="9" spans="1:23" ht="14.4" customHeight="1" x14ac:dyDescent="0.3">
      <c r="B9" s="240"/>
      <c r="C9" s="35">
        <v>4</v>
      </c>
      <c r="D9" s="147" t="s">
        <v>17</v>
      </c>
      <c r="E9" s="2"/>
      <c r="F9" s="127">
        <f>IFERROR(VLOOKUP(D9,'Data - Data Feed Market'!$A$2:$F$29,3,FALSE),"")</f>
        <v>107.602</v>
      </c>
      <c r="G9" s="119">
        <f t="shared" si="0"/>
        <v>107.608</v>
      </c>
      <c r="H9" s="243"/>
      <c r="I9" s="120">
        <f>IFERROR(VLOOKUP(D9,'Data - Data Feed Market'!$A$2:$F$29,5,FALSE),"")</f>
        <v>1.2000000000000455</v>
      </c>
      <c r="J9" s="128">
        <f>IFERROR(VLOOKUP(D9,'Data - Data Feed Market'!$A$2:$F$29,4,FALSE),"")</f>
        <v>107.614</v>
      </c>
      <c r="K9" s="86"/>
      <c r="L9" s="100">
        <f>IFERROR(VLOOKUP(D9,'Data - Data Feed Market'!$A$2:$K$29,10,FALSE),"")</f>
        <v>107.56399999999999</v>
      </c>
      <c r="M9" s="99">
        <f t="shared" si="1"/>
        <v>4.4000000000011141</v>
      </c>
      <c r="N9" s="49">
        <f t="shared" si="2"/>
        <v>0.86706948640480141</v>
      </c>
      <c r="O9" s="49">
        <f t="shared" si="6"/>
        <v>-0.86706948640480141</v>
      </c>
      <c r="P9" s="116">
        <f t="shared" si="3"/>
        <v>33.100000000000307</v>
      </c>
      <c r="Q9" s="74" t="str">
        <f t="shared" si="7"/>
        <v/>
      </c>
      <c r="R9" s="74">
        <f t="shared" si="4"/>
        <v>0.13293051359519859</v>
      </c>
      <c r="S9" s="107">
        <f t="shared" si="5"/>
        <v>28.699999999999193</v>
      </c>
      <c r="T9" s="109">
        <f>IFERROR(VLOOKUP(D9,'Data - Data Feed Market'!$A$2:$K$29,11,FALSE),"")</f>
        <v>107.895</v>
      </c>
      <c r="U9" s="52"/>
      <c r="V9" s="211">
        <v>0.04</v>
      </c>
      <c r="W9" s="153">
        <f>IFERROR(VLOOKUP(D9,'Data - Data Feed Market'!A:K,2,FALSE),"")</f>
        <v>43979.967361111114</v>
      </c>
    </row>
    <row r="10" spans="1:23" ht="14.4" customHeight="1" x14ac:dyDescent="0.3">
      <c r="B10" s="240"/>
      <c r="C10" s="35">
        <v>5</v>
      </c>
      <c r="D10" s="147" t="s">
        <v>26</v>
      </c>
      <c r="E10" s="2"/>
      <c r="F10" s="125">
        <f>IFERROR(VLOOKUP(D10,'Data - Data Feed Market'!$A$2:$F$29,3,FALSE),"")</f>
        <v>0.66405000000000003</v>
      </c>
      <c r="G10" s="119">
        <f t="shared" si="0"/>
        <v>0.66413</v>
      </c>
      <c r="H10" s="243"/>
      <c r="I10" s="120">
        <f>IFERROR(VLOOKUP(D10,'Data - Data Feed Market'!$A$2:$F$29,5,FALSE),"")</f>
        <v>1.5999999999993797</v>
      </c>
      <c r="J10" s="126">
        <f>IFERROR(VLOOKUP(D10,'Data - Data Feed Market'!$A$2:$F$29,4,FALSE),"")</f>
        <v>0.66420999999999997</v>
      </c>
      <c r="K10" s="86"/>
      <c r="L10" s="98">
        <f>IFERROR(VLOOKUP(D10,'Data - Data Feed Market'!$A$2:$K$29,10,FALSE),"")</f>
        <v>0.65878000000000003</v>
      </c>
      <c r="M10" s="99">
        <f t="shared" si="1"/>
        <v>53.499999999999659</v>
      </c>
      <c r="N10" s="49">
        <f t="shared" si="2"/>
        <v>0.32278481012658822</v>
      </c>
      <c r="O10" s="49" t="str">
        <f t="shared" si="6"/>
        <v/>
      </c>
      <c r="P10" s="116">
        <f t="shared" si="3"/>
        <v>79.000000000000185</v>
      </c>
      <c r="Q10" s="74">
        <f t="shared" si="7"/>
        <v>0.67721518987341178</v>
      </c>
      <c r="R10" s="74">
        <f t="shared" si="4"/>
        <v>0.67721518987341178</v>
      </c>
      <c r="S10" s="107">
        <f t="shared" si="5"/>
        <v>25.500000000000522</v>
      </c>
      <c r="T10" s="108">
        <f>IFERROR(VLOOKUP(D10,'Data - Data Feed Market'!$A$2:$K$29,11,FALSE),"")</f>
        <v>0.66668000000000005</v>
      </c>
      <c r="U10" s="51"/>
      <c r="V10" s="211">
        <v>0.05</v>
      </c>
      <c r="W10" s="153">
        <f>IFERROR(VLOOKUP(D10,'Data - Data Feed Market'!A:K,2,FALSE),"")</f>
        <v>43979.967361111114</v>
      </c>
    </row>
    <row r="11" spans="1:23" ht="14.4" customHeight="1" x14ac:dyDescent="0.3">
      <c r="B11" s="240"/>
      <c r="C11" s="35">
        <v>6</v>
      </c>
      <c r="D11" s="147" t="s">
        <v>12</v>
      </c>
      <c r="E11" s="2"/>
      <c r="F11" s="125">
        <f>IFERROR(VLOOKUP(D11,'Data - Data Feed Market'!$A$2:$F$29,3,FALSE),"")</f>
        <v>1.3773599999999999</v>
      </c>
      <c r="G11" s="119">
        <f t="shared" si="0"/>
        <v>1.3774599999999999</v>
      </c>
      <c r="H11" s="243"/>
      <c r="I11" s="120">
        <f>IFERROR(VLOOKUP(D11,'Data - Data Feed Market'!$A$2:$F$29,5,FALSE),"")</f>
        <v>1.9999999999997797</v>
      </c>
      <c r="J11" s="126">
        <f>IFERROR(VLOOKUP(D11,'Data - Data Feed Market'!$A$2:$F$29,4,FALSE),"")</f>
        <v>1.3775599999999999</v>
      </c>
      <c r="K11" s="86"/>
      <c r="L11" s="98">
        <f>IFERROR(VLOOKUP(D11,'Data - Data Feed Market'!$A$2:$K$29,10,FALSE),"")</f>
        <v>1.37334</v>
      </c>
      <c r="M11" s="99">
        <f t="shared" si="1"/>
        <v>41.199999999999015</v>
      </c>
      <c r="N11" s="49">
        <f t="shared" si="2"/>
        <v>0.26032315978458775</v>
      </c>
      <c r="O11" s="49" t="str">
        <f t="shared" si="6"/>
        <v/>
      </c>
      <c r="P11" s="116">
        <f t="shared" si="3"/>
        <v>55.700000000000749</v>
      </c>
      <c r="Q11" s="74">
        <f t="shared" si="7"/>
        <v>0.73967684021541225</v>
      </c>
      <c r="R11" s="74">
        <f t="shared" si="4"/>
        <v>0.73967684021541225</v>
      </c>
      <c r="S11" s="107">
        <f t="shared" si="5"/>
        <v>14.500000000001734</v>
      </c>
      <c r="T11" s="108">
        <f>IFERROR(VLOOKUP(D11,'Data - Data Feed Market'!$A$2:$K$29,11,FALSE),"")</f>
        <v>1.3789100000000001</v>
      </c>
      <c r="U11" s="51"/>
      <c r="V11" s="211">
        <v>0.06</v>
      </c>
      <c r="W11" s="153">
        <f>IFERROR(VLOOKUP(D11,'Data - Data Feed Market'!A:K,2,FALSE),"")</f>
        <v>43979.967361111114</v>
      </c>
    </row>
    <row r="12" spans="1:23" ht="14.4" customHeight="1" x14ac:dyDescent="0.3">
      <c r="B12" s="241"/>
      <c r="C12" s="78">
        <v>7</v>
      </c>
      <c r="D12" s="149" t="s">
        <v>24</v>
      </c>
      <c r="E12" s="7"/>
      <c r="F12" s="133">
        <f>IFERROR(VLOOKUP(D12,'Data - Data Feed Market'!$A$2:$F$29,3,FALSE),"")</f>
        <v>0.62126000000000003</v>
      </c>
      <c r="G12" s="134">
        <f t="shared" si="0"/>
        <v>0.62135499999999999</v>
      </c>
      <c r="H12" s="244"/>
      <c r="I12" s="135">
        <f>IFERROR(VLOOKUP(D12,'Data - Data Feed Market'!$A$2:$F$29,5,FALSE),"")</f>
        <v>1.8999999999991246</v>
      </c>
      <c r="J12" s="136">
        <f>IFERROR(VLOOKUP(D12,'Data - Data Feed Market'!$A$2:$F$29,4,FALSE),"")</f>
        <v>0.62144999999999995</v>
      </c>
      <c r="K12" s="86"/>
      <c r="L12" s="101">
        <f>IFERROR(VLOOKUP(D12,'Data - Data Feed Market'!$A$2:$K$29,10,FALSE),"")</f>
        <v>0.6169</v>
      </c>
      <c r="M12" s="102">
        <f t="shared" si="1"/>
        <v>44.549999999999869</v>
      </c>
      <c r="N12" s="94">
        <f t="shared" si="2"/>
        <v>0.23976109215016983</v>
      </c>
      <c r="O12" s="94" t="str">
        <f t="shared" si="6"/>
        <v/>
      </c>
      <c r="P12" s="118">
        <f t="shared" si="3"/>
        <v>58.599999999999767</v>
      </c>
      <c r="Q12" s="95">
        <f t="shared" si="7"/>
        <v>0.76023890784983017</v>
      </c>
      <c r="R12" s="95">
        <f t="shared" si="4"/>
        <v>0.76023890784983017</v>
      </c>
      <c r="S12" s="110">
        <f t="shared" si="5"/>
        <v>14.049999999999896</v>
      </c>
      <c r="T12" s="111">
        <f>IFERROR(VLOOKUP(D12,'Data - Data Feed Market'!$A$2:$K$29,11,FALSE),"")</f>
        <v>0.62275999999999998</v>
      </c>
      <c r="U12" s="79"/>
      <c r="V12" s="212">
        <v>7.0000000000000007E-2</v>
      </c>
      <c r="W12" s="154">
        <f>IFERROR(VLOOKUP(D12,'Data - Data Feed Market'!A:K,2,FALSE),"")</f>
        <v>43979.967361111114</v>
      </c>
    </row>
    <row r="13" spans="1:23" ht="14.4" customHeight="1" x14ac:dyDescent="0.3">
      <c r="B13" s="250" t="s">
        <v>3</v>
      </c>
      <c r="C13" s="34">
        <v>8</v>
      </c>
      <c r="D13" s="146" t="s">
        <v>33</v>
      </c>
      <c r="E13" s="76"/>
      <c r="F13" s="121">
        <f>IFERROR(VLOOKUP(D13,'Data - Data Feed Market'!$A$2:$F$29,3,FALSE),"")</f>
        <v>0.89866000000000001</v>
      </c>
      <c r="G13" s="122">
        <f t="shared" si="0"/>
        <v>0.89875499999999997</v>
      </c>
      <c r="H13" s="242">
        <f>AVERAGE(I13:I17)</f>
        <v>3.0799999999999716</v>
      </c>
      <c r="I13" s="123">
        <f>IFERROR(VLOOKUP(D13,'Data - Data Feed Market'!$A$2:$F$29,5,FALSE),"")</f>
        <v>1.9000000000002348</v>
      </c>
      <c r="J13" s="124">
        <f>IFERROR(VLOOKUP(D13,'Data - Data Feed Market'!$A$2:$F$29,4,FALSE),"")</f>
        <v>0.89885000000000004</v>
      </c>
      <c r="K13" s="85"/>
      <c r="L13" s="103">
        <f>IFERROR(VLOOKUP(D13,'Data - Data Feed Market'!$A$2:$K$29,10,FALSE),"")</f>
        <v>0.89627000000000001</v>
      </c>
      <c r="M13" s="99">
        <f t="shared" si="1"/>
        <v>24.849999999999596</v>
      </c>
      <c r="N13" s="49">
        <f t="shared" si="2"/>
        <v>0.1905537459283565</v>
      </c>
      <c r="O13" s="49" t="str">
        <f t="shared" si="6"/>
        <v/>
      </c>
      <c r="P13" s="116">
        <f t="shared" si="3"/>
        <v>30.700000000000173</v>
      </c>
      <c r="Q13" s="74">
        <f t="shared" si="7"/>
        <v>0.8094462540716435</v>
      </c>
      <c r="R13" s="74">
        <f t="shared" si="4"/>
        <v>0.8094462540716435</v>
      </c>
      <c r="S13" s="107">
        <f t="shared" si="5"/>
        <v>5.850000000000577</v>
      </c>
      <c r="T13" s="112">
        <f>IFERROR(VLOOKUP(D13,'Data - Data Feed Market'!$A$2:$K$29,11,FALSE),"")</f>
        <v>0.89934000000000003</v>
      </c>
      <c r="U13" s="77"/>
      <c r="V13" s="211">
        <v>0.03</v>
      </c>
      <c r="W13" s="156">
        <f>IFERROR(VLOOKUP(D13,'Data - Data Feed Market'!A:K,2,FALSE),"")</f>
        <v>43979.967361111114</v>
      </c>
    </row>
    <row r="14" spans="1:23" ht="14.4" customHeight="1" x14ac:dyDescent="0.3">
      <c r="B14" s="251"/>
      <c r="C14" s="35">
        <v>9</v>
      </c>
      <c r="D14" s="147" t="s">
        <v>11</v>
      </c>
      <c r="E14" s="2"/>
      <c r="F14" s="125">
        <f>IFERROR(VLOOKUP(D14,'Data - Data Feed Market'!$A$2:$F$29,3,FALSE),"")</f>
        <v>1.6671499999999999</v>
      </c>
      <c r="G14" s="119">
        <f t="shared" si="0"/>
        <v>1.6672899999999999</v>
      </c>
      <c r="H14" s="243"/>
      <c r="I14" s="120">
        <f>IFERROR(VLOOKUP(D14,'Data - Data Feed Market'!$A$2:$F$29,5,FALSE),"")</f>
        <v>2.8000000000005798</v>
      </c>
      <c r="J14" s="126">
        <f>IFERROR(VLOOKUP(D14,'Data - Data Feed Market'!$A$2:$F$29,4,FALSE),"")</f>
        <v>1.66743</v>
      </c>
      <c r="K14" s="86"/>
      <c r="L14" s="103">
        <f>IFERROR(VLOOKUP(D14,'Data - Data Feed Market'!$A$2:$K$29,10,FALSE),"")</f>
        <v>1.6585300000000001</v>
      </c>
      <c r="M14" s="99">
        <f t="shared" si="1"/>
        <v>87.599999999998786</v>
      </c>
      <c r="N14" s="49">
        <f t="shared" si="2"/>
        <v>0.26939115929942292</v>
      </c>
      <c r="O14" s="49" t="str">
        <f t="shared" si="6"/>
        <v/>
      </c>
      <c r="P14" s="116">
        <f t="shared" si="3"/>
        <v>119.89999999999945</v>
      </c>
      <c r="Q14" s="74">
        <f t="shared" si="7"/>
        <v>0.73060884070057708</v>
      </c>
      <c r="R14" s="74">
        <f t="shared" si="4"/>
        <v>0.73060884070057708</v>
      </c>
      <c r="S14" s="107">
        <f t="shared" si="5"/>
        <v>32.300000000000665</v>
      </c>
      <c r="T14" s="112">
        <f>IFERROR(VLOOKUP(D14,'Data - Data Feed Market'!$A$2:$K$29,11,FALSE),"")</f>
        <v>1.67052</v>
      </c>
      <c r="U14" s="51"/>
      <c r="V14" s="211">
        <v>0.04</v>
      </c>
      <c r="W14" s="153">
        <f>IFERROR(VLOOKUP(D14,'Data - Data Feed Market'!A:K,2,FALSE),"")</f>
        <v>43979.967361111114</v>
      </c>
    </row>
    <row r="15" spans="1:23" ht="14.4" customHeight="1" x14ac:dyDescent="0.3">
      <c r="B15" s="251"/>
      <c r="C15" s="35">
        <v>10</v>
      </c>
      <c r="D15" s="147" t="s">
        <v>15</v>
      </c>
      <c r="E15" s="2"/>
      <c r="F15" s="125">
        <f>IFERROR(VLOOKUP(D15,'Data - Data Feed Market'!$A$2:$F$29,3,FALSE),"")</f>
        <v>1.52515</v>
      </c>
      <c r="G15" s="119">
        <f t="shared" si="0"/>
        <v>1.5252949999999998</v>
      </c>
      <c r="H15" s="243"/>
      <c r="I15" s="120">
        <f>IFERROR(VLOOKUP(D15,'Data - Data Feed Market'!$A$2:$F$29,5,FALSE),"")</f>
        <v>2.8999999999990145</v>
      </c>
      <c r="J15" s="126">
        <f>IFERROR(VLOOKUP(D15,'Data - Data Feed Market'!$A$2:$F$29,4,FALSE),"")</f>
        <v>1.5254399999999999</v>
      </c>
      <c r="K15" s="86"/>
      <c r="L15" s="103">
        <f>IFERROR(VLOOKUP(D15,'Data - Data Feed Market'!$A$2:$K$29,10,FALSE),"")</f>
        <v>1.5124899999999999</v>
      </c>
      <c r="M15" s="99">
        <f t="shared" si="1"/>
        <v>128.04999999999956</v>
      </c>
      <c r="N15" s="49">
        <f t="shared" si="2"/>
        <v>0.1295037389530963</v>
      </c>
      <c r="O15" s="49" t="str">
        <f t="shared" si="6"/>
        <v/>
      </c>
      <c r="P15" s="116">
        <f t="shared" si="3"/>
        <v>147.10000000000002</v>
      </c>
      <c r="Q15" s="74">
        <f t="shared" si="7"/>
        <v>0.87049626104690381</v>
      </c>
      <c r="R15" s="74">
        <f t="shared" si="4"/>
        <v>0.87049626104690381</v>
      </c>
      <c r="S15" s="107">
        <f t="shared" si="5"/>
        <v>19.050000000000455</v>
      </c>
      <c r="T15" s="112">
        <f>IFERROR(VLOOKUP(D15,'Data - Data Feed Market'!$A$2:$K$29,11,FALSE),"")</f>
        <v>1.5271999999999999</v>
      </c>
      <c r="U15" s="51"/>
      <c r="V15" s="211">
        <v>0.05</v>
      </c>
      <c r="W15" s="153">
        <f>IFERROR(VLOOKUP(D15,'Data - Data Feed Market'!A:K,2,FALSE),"")</f>
        <v>43979.967361111114</v>
      </c>
    </row>
    <row r="16" spans="1:23" ht="14.4" customHeight="1" x14ac:dyDescent="0.3">
      <c r="B16" s="251"/>
      <c r="C16" s="35">
        <v>11</v>
      </c>
      <c r="D16" s="147" t="s">
        <v>30</v>
      </c>
      <c r="E16" s="2"/>
      <c r="F16" s="125">
        <f>IFERROR(VLOOKUP(D16,'Data - Data Feed Market'!$A$2:$F$29,3,FALSE),"")</f>
        <v>1.06769</v>
      </c>
      <c r="G16" s="119">
        <f t="shared" si="0"/>
        <v>1.067785</v>
      </c>
      <c r="H16" s="243"/>
      <c r="I16" s="120">
        <f>IFERROR(VLOOKUP(D16,'Data - Data Feed Market'!$A$2:$F$29,5,FALSE),"")</f>
        <v>1.8999999999991246</v>
      </c>
      <c r="J16" s="126">
        <f>IFERROR(VLOOKUP(D16,'Data - Data Feed Market'!$A$2:$F$29,4,FALSE),"")</f>
        <v>1.0678799999999999</v>
      </c>
      <c r="K16" s="86"/>
      <c r="L16" s="103">
        <f>IFERROR(VLOOKUP(D16,'Data - Data Feed Market'!$A$2:$K$29,10,FALSE),"")</f>
        <v>1.06481</v>
      </c>
      <c r="M16" s="99">
        <f t="shared" si="1"/>
        <v>29.749999999999499</v>
      </c>
      <c r="N16" s="49">
        <f t="shared" si="2"/>
        <v>0.39161554192230819</v>
      </c>
      <c r="O16" s="49" t="str">
        <f t="shared" si="6"/>
        <v/>
      </c>
      <c r="P16" s="116">
        <f t="shared" si="3"/>
        <v>48.90000000000061</v>
      </c>
      <c r="Q16" s="74">
        <f t="shared" si="7"/>
        <v>0.60838445807769181</v>
      </c>
      <c r="R16" s="74">
        <f t="shared" si="4"/>
        <v>0.60838445807769181</v>
      </c>
      <c r="S16" s="107">
        <f t="shared" si="5"/>
        <v>19.150000000001111</v>
      </c>
      <c r="T16" s="112">
        <f>IFERROR(VLOOKUP(D16,'Data - Data Feed Market'!$A$2:$K$29,11,FALSE),"")</f>
        <v>1.0697000000000001</v>
      </c>
      <c r="U16" s="51"/>
      <c r="V16" s="211">
        <v>0.04</v>
      </c>
      <c r="W16" s="153">
        <f>IFERROR(VLOOKUP(D16,'Data - Data Feed Market'!A:K,2,FALSE),"")</f>
        <v>43979.96597222222</v>
      </c>
    </row>
    <row r="17" spans="2:23" ht="14.4" customHeight="1" x14ac:dyDescent="0.3">
      <c r="B17" s="252"/>
      <c r="C17" s="78">
        <v>12</v>
      </c>
      <c r="D17" s="149" t="s">
        <v>8</v>
      </c>
      <c r="E17" s="7"/>
      <c r="F17" s="129">
        <f>IFERROR(VLOOKUP(D17,'Data - Data Feed Market'!$A$2:$F$29,3,FALSE),"")</f>
        <v>1.7819199999999999</v>
      </c>
      <c r="G17" s="130">
        <f t="shared" si="0"/>
        <v>1.7822149999999999</v>
      </c>
      <c r="H17" s="249"/>
      <c r="I17" s="131">
        <f>IFERROR(VLOOKUP(D17,'Data - Data Feed Market'!$A$2:$F$29,5,FALSE),"")</f>
        <v>5.9000000000009045</v>
      </c>
      <c r="J17" s="132">
        <f>IFERROR(VLOOKUP(D17,'Data - Data Feed Market'!$A$2:$F$29,4,FALSE),"")</f>
        <v>1.78251</v>
      </c>
      <c r="K17" s="87"/>
      <c r="L17" s="103">
        <f>IFERROR(VLOOKUP(D17,'Data - Data Feed Market'!$A$2:$K$29,10,FALSE),"")</f>
        <v>1.7753300000000001</v>
      </c>
      <c r="M17" s="99">
        <f t="shared" si="1"/>
        <v>68.849999999998076</v>
      </c>
      <c r="N17" s="49">
        <f t="shared" si="2"/>
        <v>0.27830188679246404</v>
      </c>
      <c r="O17" s="49" t="str">
        <f t="shared" si="6"/>
        <v/>
      </c>
      <c r="P17" s="118">
        <f t="shared" si="3"/>
        <v>95.399999999998812</v>
      </c>
      <c r="Q17" s="74">
        <f t="shared" si="7"/>
        <v>0.72169811320753596</v>
      </c>
      <c r="R17" s="74">
        <f t="shared" si="4"/>
        <v>0.72169811320753596</v>
      </c>
      <c r="S17" s="107">
        <f t="shared" si="5"/>
        <v>26.55000000000074</v>
      </c>
      <c r="T17" s="112">
        <f>IFERROR(VLOOKUP(D17,'Data - Data Feed Market'!$A$2:$K$29,11,FALSE),"")</f>
        <v>1.78487</v>
      </c>
      <c r="U17" s="79"/>
      <c r="V17" s="211">
        <v>0.03</v>
      </c>
      <c r="W17" s="155">
        <f>IFERROR(VLOOKUP(D17,'Data - Data Feed Market'!A:K,2,FALSE),"")</f>
        <v>43979.967361111114</v>
      </c>
    </row>
    <row r="18" spans="2:23" ht="14.4" customHeight="1" x14ac:dyDescent="0.3">
      <c r="B18" s="253" t="s">
        <v>2</v>
      </c>
      <c r="C18" s="34">
        <v>13</v>
      </c>
      <c r="D18" s="146" t="s">
        <v>10</v>
      </c>
      <c r="E18" s="76"/>
      <c r="F18" s="137">
        <f>IFERROR(VLOOKUP(D18,'Data - Data Feed Market'!$A$2:$F$29,3,FALSE),"")</f>
        <v>1.8548800000000001</v>
      </c>
      <c r="G18" s="138">
        <f t="shared" si="0"/>
        <v>1.8550800000000001</v>
      </c>
      <c r="H18" s="248">
        <f>AVERAGE(I18:I21)</f>
        <v>4.6249999999997682</v>
      </c>
      <c r="I18" s="139">
        <f>IFERROR(VLOOKUP(D18,'Data - Data Feed Market'!$A$2:$F$29,5,FALSE),"")</f>
        <v>3.9999999999995595</v>
      </c>
      <c r="J18" s="140">
        <f>IFERROR(VLOOKUP(D18,'Data - Data Feed Market'!$A$2:$F$29,4,FALSE),"")</f>
        <v>1.85528</v>
      </c>
      <c r="K18" s="86"/>
      <c r="L18" s="96">
        <f>IFERROR(VLOOKUP(D18,'Data - Data Feed Market'!$A$2:$K$29,10,FALSE),"")</f>
        <v>1.8476300000000001</v>
      </c>
      <c r="M18" s="97">
        <f t="shared" si="1"/>
        <v>74.499999999999574</v>
      </c>
      <c r="N18" s="92">
        <f t="shared" si="2"/>
        <v>0.34012400354295047</v>
      </c>
      <c r="O18" s="92" t="str">
        <f t="shared" si="6"/>
        <v/>
      </c>
      <c r="P18" s="116">
        <f t="shared" si="3"/>
        <v>112.899999999998</v>
      </c>
      <c r="Q18" s="93">
        <f t="shared" si="7"/>
        <v>0.65987599645704953</v>
      </c>
      <c r="R18" s="93">
        <f t="shared" si="4"/>
        <v>0.65987599645704953</v>
      </c>
      <c r="S18" s="105">
        <f t="shared" si="5"/>
        <v>38.399999999998435</v>
      </c>
      <c r="T18" s="106">
        <f>IFERROR(VLOOKUP(D18,'Data - Data Feed Market'!$A$2:$K$29,11,FALSE),"")</f>
        <v>1.8589199999999999</v>
      </c>
      <c r="U18" s="77"/>
      <c r="V18" s="210">
        <v>0.04</v>
      </c>
      <c r="W18" s="152">
        <f>IFERROR(VLOOKUP(D18,'Data - Data Feed Market'!A:K,2,FALSE),"")</f>
        <v>43979.967361111114</v>
      </c>
    </row>
    <row r="19" spans="2:23" ht="14.4" customHeight="1" x14ac:dyDescent="0.3">
      <c r="B19" s="254"/>
      <c r="C19" s="35">
        <v>14</v>
      </c>
      <c r="D19" s="147" t="s">
        <v>14</v>
      </c>
      <c r="E19" s="2"/>
      <c r="F19" s="125">
        <f>IFERROR(VLOOKUP(D19,'Data - Data Feed Market'!$A$2:$F$29,3,FALSE),"")</f>
        <v>1.6968799999999999</v>
      </c>
      <c r="G19" s="119">
        <f t="shared" si="0"/>
        <v>1.6970999999999998</v>
      </c>
      <c r="H19" s="243"/>
      <c r="I19" s="120">
        <f>IFERROR(VLOOKUP(D19,'Data - Data Feed Market'!$A$2:$F$29,5,FALSE),"")</f>
        <v>4.3999999999999595</v>
      </c>
      <c r="J19" s="126">
        <f>IFERROR(VLOOKUP(D19,'Data - Data Feed Market'!$A$2:$F$29,4,FALSE),"")</f>
        <v>1.6973199999999999</v>
      </c>
      <c r="K19" s="86"/>
      <c r="L19" s="98">
        <f>IFERROR(VLOOKUP(D19,'Data - Data Feed Market'!$A$2:$K$29,10,FALSE),"")</f>
        <v>1.68462</v>
      </c>
      <c r="M19" s="99">
        <f t="shared" si="1"/>
        <v>124.79999999999825</v>
      </c>
      <c r="N19" s="49">
        <f t="shared" si="2"/>
        <v>0.13752591568764061</v>
      </c>
      <c r="O19" s="49" t="str">
        <f t="shared" si="6"/>
        <v/>
      </c>
      <c r="P19" s="116">
        <f t="shared" si="3"/>
        <v>144.69999999999982</v>
      </c>
      <c r="Q19" s="74">
        <f t="shared" si="7"/>
        <v>0.86247408431235928</v>
      </c>
      <c r="R19" s="74">
        <f t="shared" si="4"/>
        <v>0.86247408431235928</v>
      </c>
      <c r="S19" s="107">
        <f t="shared" si="5"/>
        <v>19.900000000001583</v>
      </c>
      <c r="T19" s="108">
        <f>IFERROR(VLOOKUP(D19,'Data - Data Feed Market'!$A$2:$K$29,11,FALSE),"")</f>
        <v>1.69909</v>
      </c>
      <c r="U19" s="51"/>
      <c r="V19" s="211">
        <v>0.03</v>
      </c>
      <c r="W19" s="153">
        <f>IFERROR(VLOOKUP(D19,'Data - Data Feed Market'!A:K,2,FALSE),"")</f>
        <v>43979.967361111114</v>
      </c>
    </row>
    <row r="20" spans="2:23" ht="14.4" customHeight="1" x14ac:dyDescent="0.3">
      <c r="B20" s="254"/>
      <c r="C20" s="35">
        <v>15</v>
      </c>
      <c r="D20" s="147" t="s">
        <v>29</v>
      </c>
      <c r="E20" s="2"/>
      <c r="F20" s="125">
        <f>IFERROR(VLOOKUP(D20,'Data - Data Feed Market'!$A$2:$F$29,3,FALSE),"")</f>
        <v>1.1878299999999999</v>
      </c>
      <c r="G20" s="119">
        <f t="shared" si="0"/>
        <v>1.188005</v>
      </c>
      <c r="H20" s="243"/>
      <c r="I20" s="120">
        <f>IFERROR(VLOOKUP(D20,'Data - Data Feed Market'!$A$2:$F$29,5,FALSE),"")</f>
        <v>3.5000000000007248</v>
      </c>
      <c r="J20" s="126">
        <f>IFERROR(VLOOKUP(D20,'Data - Data Feed Market'!$A$2:$F$29,4,FALSE),"")</f>
        <v>1.18818</v>
      </c>
      <c r="K20" s="86"/>
      <c r="L20" s="98">
        <f>IFERROR(VLOOKUP(D20,'Data - Data Feed Market'!$A$2:$K$29,10,FALSE),"")</f>
        <v>1.1861299999999999</v>
      </c>
      <c r="M20" s="99">
        <f t="shared" si="1"/>
        <v>18.750000000000711</v>
      </c>
      <c r="N20" s="49">
        <f t="shared" si="2"/>
        <v>0.68749999999998845</v>
      </c>
      <c r="O20" s="49">
        <f t="shared" si="6"/>
        <v>-0.68749999999998845</v>
      </c>
      <c r="P20" s="116">
        <f t="shared" si="3"/>
        <v>60.000000000000057</v>
      </c>
      <c r="Q20" s="74" t="str">
        <f t="shared" si="7"/>
        <v/>
      </c>
      <c r="R20" s="74">
        <f t="shared" si="4"/>
        <v>0.31250000000001155</v>
      </c>
      <c r="S20" s="107">
        <f t="shared" si="5"/>
        <v>41.249999999999346</v>
      </c>
      <c r="T20" s="108">
        <f>IFERROR(VLOOKUP(D20,'Data - Data Feed Market'!$A$2:$K$29,11,FALSE),"")</f>
        <v>1.1921299999999999</v>
      </c>
      <c r="U20" s="51"/>
      <c r="V20" s="211">
        <v>0.02</v>
      </c>
      <c r="W20" s="153">
        <f>IFERROR(VLOOKUP(D20,'Data - Data Feed Market'!A:K,2,FALSE),"")</f>
        <v>43979.967361111114</v>
      </c>
    </row>
    <row r="21" spans="2:23" ht="14.4" customHeight="1" x14ac:dyDescent="0.3">
      <c r="B21" s="255"/>
      <c r="C21" s="78">
        <v>16</v>
      </c>
      <c r="D21" s="149" t="s">
        <v>7</v>
      </c>
      <c r="E21" s="7"/>
      <c r="F21" s="133">
        <f>IFERROR(VLOOKUP(D21,'Data - Data Feed Market'!$A$2:$F$29,3,FALSE),"")</f>
        <v>1.9825200000000001</v>
      </c>
      <c r="G21" s="134">
        <f t="shared" si="0"/>
        <v>1.98285</v>
      </c>
      <c r="H21" s="244"/>
      <c r="I21" s="135">
        <f>IFERROR(VLOOKUP(D21,'Data - Data Feed Market'!$A$2:$F$29,5,FALSE),"")</f>
        <v>6.599999999998829</v>
      </c>
      <c r="J21" s="136">
        <f>IFERROR(VLOOKUP(D21,'Data - Data Feed Market'!$A$2:$F$29,4,FALSE),"")</f>
        <v>1.9831799999999999</v>
      </c>
      <c r="K21" s="86"/>
      <c r="L21" s="101">
        <f>IFERROR(VLOOKUP(D21,'Data - Data Feed Market'!$A$2:$K$29,10,FALSE),"")</f>
        <v>1.97746</v>
      </c>
      <c r="M21" s="102">
        <f t="shared" si="1"/>
        <v>53.900000000000063</v>
      </c>
      <c r="N21" s="94">
        <f t="shared" si="2"/>
        <v>0.34824667472793147</v>
      </c>
      <c r="O21" s="94" t="str">
        <f t="shared" si="6"/>
        <v/>
      </c>
      <c r="P21" s="118">
        <f t="shared" si="3"/>
        <v>82.699999999999989</v>
      </c>
      <c r="Q21" s="95">
        <f t="shared" si="7"/>
        <v>0.65175332527206842</v>
      </c>
      <c r="R21" s="95">
        <f t="shared" si="4"/>
        <v>0.65175332527206842</v>
      </c>
      <c r="S21" s="110">
        <f t="shared" si="5"/>
        <v>28.799999999999937</v>
      </c>
      <c r="T21" s="111">
        <f>IFERROR(VLOOKUP(D21,'Data - Data Feed Market'!$A$2:$K$29,11,FALSE),"")</f>
        <v>1.98573</v>
      </c>
      <c r="U21" s="79"/>
      <c r="V21" s="212">
        <v>0.03</v>
      </c>
      <c r="W21" s="154">
        <f>IFERROR(VLOOKUP(D21,'Data - Data Feed Market'!A:K,2,FALSE),"")</f>
        <v>43979.967361111114</v>
      </c>
    </row>
    <row r="22" spans="2:23" ht="14.4" customHeight="1" x14ac:dyDescent="0.3">
      <c r="B22" s="245" t="s">
        <v>0</v>
      </c>
      <c r="C22" s="36">
        <v>17</v>
      </c>
      <c r="D22" s="146" t="s">
        <v>20</v>
      </c>
      <c r="E22" s="76"/>
      <c r="F22" s="141">
        <f>IFERROR(VLOOKUP(D22,'Data - Data Feed Market'!$A$2:$F$29,3,FALSE),"")</f>
        <v>119.152</v>
      </c>
      <c r="G22" s="122">
        <f t="shared" si="0"/>
        <v>119.1605</v>
      </c>
      <c r="H22" s="242">
        <f>AVERAGE(I22:I27)</f>
        <v>2.1500000000000816</v>
      </c>
      <c r="I22" s="123">
        <f>IFERROR(VLOOKUP(D22,'Data - Data Feed Market'!$A$2:$F$29,5,FALSE),"")</f>
        <v>1.6999999999995907</v>
      </c>
      <c r="J22" s="142">
        <f>IFERROR(VLOOKUP(D22,'Data - Data Feed Market'!$A$2:$F$29,4,FALSE),"")</f>
        <v>119.169</v>
      </c>
      <c r="K22" s="85"/>
      <c r="L22" s="104">
        <f>IFERROR(VLOOKUP(D22,'Data - Data Feed Market'!$A$2:$K$29,10,FALSE),"")</f>
        <v>118.476</v>
      </c>
      <c r="M22" s="99">
        <f t="shared" si="1"/>
        <v>68.449999999999989</v>
      </c>
      <c r="N22" s="49">
        <f t="shared" si="2"/>
        <v>0.24697469746975209</v>
      </c>
      <c r="O22" s="49" t="str">
        <f t="shared" si="6"/>
        <v/>
      </c>
      <c r="P22" s="116">
        <f t="shared" si="3"/>
        <v>90.900000000000603</v>
      </c>
      <c r="Q22" s="74">
        <f t="shared" si="7"/>
        <v>0.75302530253024791</v>
      </c>
      <c r="R22" s="74">
        <f t="shared" si="4"/>
        <v>0.75302530253024791</v>
      </c>
      <c r="S22" s="107">
        <f t="shared" si="5"/>
        <v>22.450000000000614</v>
      </c>
      <c r="T22" s="113">
        <f>IFERROR(VLOOKUP(D22,'Data - Data Feed Market'!$A$2:$K$29,11,FALSE),"")</f>
        <v>119.38500000000001</v>
      </c>
      <c r="U22" s="81"/>
      <c r="V22" s="211">
        <v>0.04</v>
      </c>
      <c r="W22" s="156">
        <f>IFERROR(VLOOKUP(D22,'Data - Data Feed Market'!A:K,2,FALSE),"")</f>
        <v>43979.967361111114</v>
      </c>
    </row>
    <row r="23" spans="2:23" ht="14.4" customHeight="1" x14ac:dyDescent="0.3">
      <c r="B23" s="246"/>
      <c r="C23" s="80">
        <v>18</v>
      </c>
      <c r="D23" s="147" t="s">
        <v>19</v>
      </c>
      <c r="E23" s="2"/>
      <c r="F23" s="127">
        <f>IFERROR(VLOOKUP(D23,'Data - Data Feed Market'!$A$2:$F$29,3,FALSE),"")</f>
        <v>132.56299999999999</v>
      </c>
      <c r="G23" s="119">
        <f t="shared" si="0"/>
        <v>132.57849999999999</v>
      </c>
      <c r="H23" s="243"/>
      <c r="I23" s="120">
        <f>IFERROR(VLOOKUP(D23,'Data - Data Feed Market'!$A$2:$F$29,5,FALSE),"")</f>
        <v>3.1000000000005912</v>
      </c>
      <c r="J23" s="128">
        <f>IFERROR(VLOOKUP(D23,'Data - Data Feed Market'!$A$2:$F$29,4,FALSE),"")</f>
        <v>132.59399999999999</v>
      </c>
      <c r="K23" s="86"/>
      <c r="L23" s="104">
        <f>IFERROR(VLOOKUP(D23,'Data - Data Feed Market'!$A$2:$K$29,10,FALSE),"")</f>
        <v>131.815</v>
      </c>
      <c r="M23" s="99">
        <f t="shared" si="1"/>
        <v>76.349999999999341</v>
      </c>
      <c r="N23" s="49">
        <f t="shared" si="2"/>
        <v>0.27630331753555593</v>
      </c>
      <c r="O23" s="49" t="str">
        <f t="shared" si="6"/>
        <v/>
      </c>
      <c r="P23" s="116">
        <f t="shared" si="3"/>
        <v>105.50000000000068</v>
      </c>
      <c r="Q23" s="74">
        <f t="shared" si="7"/>
        <v>0.72369668246444407</v>
      </c>
      <c r="R23" s="74">
        <f t="shared" si="4"/>
        <v>0.72369668246444407</v>
      </c>
      <c r="S23" s="107">
        <f t="shared" si="5"/>
        <v>29.150000000001342</v>
      </c>
      <c r="T23" s="113">
        <f>IFERROR(VLOOKUP(D23,'Data - Data Feed Market'!$A$2:$K$29,11,FALSE),"")</f>
        <v>132.87</v>
      </c>
      <c r="U23" s="52"/>
      <c r="V23" s="211">
        <v>0.03</v>
      </c>
      <c r="W23" s="153">
        <f>IFERROR(VLOOKUP(D23,'Data - Data Feed Market'!A:K,2,FALSE),"")</f>
        <v>43979.967361111114</v>
      </c>
    </row>
    <row r="24" spans="2:23" ht="14.4" customHeight="1" x14ac:dyDescent="0.3">
      <c r="B24" s="246"/>
      <c r="C24" s="80">
        <v>19</v>
      </c>
      <c r="D24" s="147" t="s">
        <v>23</v>
      </c>
      <c r="E24" s="2"/>
      <c r="F24" s="127">
        <f>IFERROR(VLOOKUP(D24,'Data - Data Feed Market'!$A$2:$F$29,3,FALSE),"")</f>
        <v>71.459999999999994</v>
      </c>
      <c r="G24" s="119">
        <f t="shared" si="0"/>
        <v>71.467999999999989</v>
      </c>
      <c r="H24" s="243"/>
      <c r="I24" s="120">
        <f>IFERROR(VLOOKUP(D24,'Data - Data Feed Market'!$A$2:$F$29,5,FALSE),"")</f>
        <v>1.6000000000005343</v>
      </c>
      <c r="J24" s="128">
        <f>IFERROR(VLOOKUP(D24,'Data - Data Feed Market'!$A$2:$F$29,4,FALSE),"")</f>
        <v>71.475999999999999</v>
      </c>
      <c r="K24" s="86"/>
      <c r="L24" s="104">
        <f>IFERROR(VLOOKUP(D24,'Data - Data Feed Market'!$A$2:$K$29,10,FALSE),"")</f>
        <v>71.007999999999996</v>
      </c>
      <c r="M24" s="99">
        <f t="shared" si="1"/>
        <v>45.999999999999375</v>
      </c>
      <c r="N24" s="49">
        <f t="shared" si="2"/>
        <v>0.39711664482307918</v>
      </c>
      <c r="O24" s="49" t="str">
        <f t="shared" si="6"/>
        <v/>
      </c>
      <c r="P24" s="116">
        <f t="shared" si="3"/>
        <v>76.300000000000523</v>
      </c>
      <c r="Q24" s="74">
        <f t="shared" si="7"/>
        <v>0.60288335517692082</v>
      </c>
      <c r="R24" s="74">
        <f t="shared" si="4"/>
        <v>0.60288335517692082</v>
      </c>
      <c r="S24" s="107">
        <f t="shared" si="5"/>
        <v>30.300000000001148</v>
      </c>
      <c r="T24" s="113">
        <f>IFERROR(VLOOKUP(D24,'Data - Data Feed Market'!$A$2:$K$29,11,FALSE),"")</f>
        <v>71.771000000000001</v>
      </c>
      <c r="U24" s="52"/>
      <c r="V24" s="211">
        <v>0.02</v>
      </c>
      <c r="W24" s="153">
        <f>IFERROR(VLOOKUP(D24,'Data - Data Feed Market'!A:K,2,FALSE),"")</f>
        <v>43979.967361111114</v>
      </c>
    </row>
    <row r="25" spans="2:23" ht="14.4" customHeight="1" x14ac:dyDescent="0.3">
      <c r="B25" s="246"/>
      <c r="C25" s="80">
        <v>20</v>
      </c>
      <c r="D25" s="147" t="s">
        <v>18</v>
      </c>
      <c r="E25" s="2"/>
      <c r="F25" s="127">
        <f>IFERROR(VLOOKUP(D25,'Data - Data Feed Market'!$A$2:$F$29,3,FALSE),"")</f>
        <v>66.846999999999994</v>
      </c>
      <c r="G25" s="119">
        <f t="shared" si="0"/>
        <v>66.860500000000002</v>
      </c>
      <c r="H25" s="243"/>
      <c r="I25" s="120">
        <f>IFERROR(VLOOKUP(D25,'Data - Data Feed Market'!$A$2:$F$29,5,FALSE),"")</f>
        <v>2.7000000000001023</v>
      </c>
      <c r="J25" s="128">
        <f>IFERROR(VLOOKUP(D25,'Data - Data Feed Market'!$A$2:$F$29,4,FALSE),"")</f>
        <v>66.873999999999995</v>
      </c>
      <c r="K25" s="86"/>
      <c r="L25" s="104">
        <f>IFERROR(VLOOKUP(D25,'Data - Data Feed Market'!$A$2:$K$29,10,FALSE),"")</f>
        <v>66.475999999999999</v>
      </c>
      <c r="M25" s="99">
        <f t="shared" si="1"/>
        <v>38.450000000000273</v>
      </c>
      <c r="N25" s="49">
        <f t="shared" si="2"/>
        <v>0.31583629893237664</v>
      </c>
      <c r="O25" s="49" t="str">
        <f t="shared" si="6"/>
        <v/>
      </c>
      <c r="P25" s="116">
        <f t="shared" si="3"/>
        <v>56.199999999999761</v>
      </c>
      <c r="Q25" s="74">
        <f t="shared" si="7"/>
        <v>0.68416370106762336</v>
      </c>
      <c r="R25" s="74">
        <f t="shared" si="4"/>
        <v>0.68416370106762336</v>
      </c>
      <c r="S25" s="107">
        <f t="shared" si="5"/>
        <v>17.749999999999488</v>
      </c>
      <c r="T25" s="113">
        <f>IFERROR(VLOOKUP(D25,'Data - Data Feed Market'!$A$2:$K$29,11,FALSE),"")</f>
        <v>67.037999999999997</v>
      </c>
      <c r="U25" s="52"/>
      <c r="V25" s="211">
        <v>0.04</v>
      </c>
      <c r="W25" s="153">
        <f>IFERROR(VLOOKUP(D25,'Data - Data Feed Market'!A:K,2,FALSE),"")</f>
        <v>43979.967361111114</v>
      </c>
    </row>
    <row r="26" spans="2:23" ht="14.4" customHeight="1" x14ac:dyDescent="0.3">
      <c r="B26" s="246"/>
      <c r="C26" s="80">
        <v>21</v>
      </c>
      <c r="D26" s="147" t="s">
        <v>22</v>
      </c>
      <c r="E26" s="2"/>
      <c r="F26" s="127">
        <f>IFERROR(VLOOKUP(D26,'Data - Data Feed Market'!$A$2:$F$29,3,FALSE),"")</f>
        <v>78.111000000000004</v>
      </c>
      <c r="G26" s="119">
        <f t="shared" si="0"/>
        <v>78.120499999999993</v>
      </c>
      <c r="H26" s="243"/>
      <c r="I26" s="120">
        <f>IFERROR(VLOOKUP(D26,'Data - Data Feed Market'!$A$2:$F$29,5,FALSE),"")</f>
        <v>1.8999999999991246</v>
      </c>
      <c r="J26" s="128">
        <f>IFERROR(VLOOKUP(D26,'Data - Data Feed Market'!$A$2:$F$29,4,FALSE),"")</f>
        <v>78.13</v>
      </c>
      <c r="K26" s="86"/>
      <c r="L26" s="104">
        <f>IFERROR(VLOOKUP(D26,'Data - Data Feed Market'!$A$2:$K$29,10,FALSE),"")</f>
        <v>78.031000000000006</v>
      </c>
      <c r="M26" s="99">
        <f t="shared" si="1"/>
        <v>8.9499999999986812</v>
      </c>
      <c r="N26" s="49">
        <f t="shared" si="2"/>
        <v>0.80752688172045395</v>
      </c>
      <c r="O26" s="49">
        <f t="shared" si="6"/>
        <v>-0.80752688172045395</v>
      </c>
      <c r="P26" s="116">
        <f t="shared" si="3"/>
        <v>46.49999999999892</v>
      </c>
      <c r="Q26" s="74" t="str">
        <f t="shared" si="7"/>
        <v/>
      </c>
      <c r="R26" s="74">
        <f t="shared" si="4"/>
        <v>0.19247311827954605</v>
      </c>
      <c r="S26" s="107">
        <f t="shared" si="5"/>
        <v>37.550000000000239</v>
      </c>
      <c r="T26" s="113">
        <f>IFERROR(VLOOKUP(D26,'Data - Data Feed Market'!$A$2:$K$29,11,FALSE),"")</f>
        <v>78.495999999999995</v>
      </c>
      <c r="U26" s="52"/>
      <c r="V26" s="211">
        <v>0.05</v>
      </c>
      <c r="W26" s="153">
        <f>IFERROR(VLOOKUP(D26,'Data - Data Feed Market'!A:K,2,FALSE),"")</f>
        <v>43979.967361111114</v>
      </c>
    </row>
    <row r="27" spans="2:23" ht="14.4" customHeight="1" x14ac:dyDescent="0.3">
      <c r="B27" s="247"/>
      <c r="C27" s="82">
        <v>22</v>
      </c>
      <c r="D27" s="149" t="s">
        <v>21</v>
      </c>
      <c r="E27" s="7"/>
      <c r="F27" s="143">
        <f>IFERROR(VLOOKUP(D27,'Data - Data Feed Market'!$A$2:$F$29,3,FALSE),"")</f>
        <v>111.586</v>
      </c>
      <c r="G27" s="130">
        <f t="shared" si="0"/>
        <v>111.5955</v>
      </c>
      <c r="H27" s="249"/>
      <c r="I27" s="131">
        <f>IFERROR(VLOOKUP(D27,'Data - Data Feed Market'!$A$2:$F$29,5,FALSE),"")</f>
        <v>1.9000000000005457</v>
      </c>
      <c r="J27" s="144">
        <f>IFERROR(VLOOKUP(D27,'Data - Data Feed Market'!$A$2:$F$29,4,FALSE),"")</f>
        <v>111.605</v>
      </c>
      <c r="K27" s="87"/>
      <c r="L27" s="104">
        <f>IFERROR(VLOOKUP(D27,'Data - Data Feed Market'!$A$2:$K$29,10,FALSE),"")</f>
        <v>110.79600000000001</v>
      </c>
      <c r="M27" s="99">
        <f t="shared" si="1"/>
        <v>79.949999999999477</v>
      </c>
      <c r="N27" s="49">
        <f t="shared" si="2"/>
        <v>0.1749226006191954</v>
      </c>
      <c r="O27" s="49" t="str">
        <f t="shared" si="6"/>
        <v/>
      </c>
      <c r="P27" s="118">
        <f t="shared" si="3"/>
        <v>96.899999999999409</v>
      </c>
      <c r="Q27" s="74">
        <f t="shared" si="7"/>
        <v>0.8250773993808046</v>
      </c>
      <c r="R27" s="74">
        <f t="shared" si="4"/>
        <v>0.8250773993808046</v>
      </c>
      <c r="S27" s="107">
        <f t="shared" si="5"/>
        <v>16.949999999999932</v>
      </c>
      <c r="T27" s="113">
        <f>IFERROR(VLOOKUP(D27,'Data - Data Feed Market'!$A$2:$K$29,11,FALSE),"")</f>
        <v>111.765</v>
      </c>
      <c r="U27" s="83"/>
      <c r="V27" s="211">
        <v>0.03</v>
      </c>
      <c r="W27" s="155">
        <f>IFERROR(VLOOKUP(D27,'Data - Data Feed Market'!A:K,2,FALSE),"")</f>
        <v>43979.967361111114</v>
      </c>
    </row>
    <row r="28" spans="2:23" ht="14.4" customHeight="1" x14ac:dyDescent="0.3">
      <c r="B28" s="245" t="s">
        <v>34</v>
      </c>
      <c r="C28" s="36">
        <v>23</v>
      </c>
      <c r="D28" s="146" t="s">
        <v>16</v>
      </c>
      <c r="E28" s="76"/>
      <c r="F28" s="137">
        <f>IFERROR(VLOOKUP(D28,'Data - Data Feed Market'!$A$2:$F$29,3,FALSE),"")</f>
        <v>0.91474</v>
      </c>
      <c r="G28" s="138">
        <f t="shared" si="0"/>
        <v>0.91483500000000006</v>
      </c>
      <c r="H28" s="248">
        <f>AVERAGE(I28:I33)</f>
        <v>2.7000000000002946</v>
      </c>
      <c r="I28" s="139">
        <f>IFERROR(VLOOKUP(D28,'Data - Data Feed Market'!$A$2:$F$29,5,FALSE),"")</f>
        <v>1.9000000000002348</v>
      </c>
      <c r="J28" s="140">
        <f>IFERROR(VLOOKUP(D28,'Data - Data Feed Market'!$A$2:$F$29,4,FALSE),"")</f>
        <v>0.91493000000000002</v>
      </c>
      <c r="K28" s="86"/>
      <c r="L28" s="96">
        <f>IFERROR(VLOOKUP(D28,'Data - Data Feed Market'!$A$2:$K$29,10,FALSE),"")</f>
        <v>0.90776000000000001</v>
      </c>
      <c r="M28" s="97">
        <f t="shared" si="1"/>
        <v>70.75000000000054</v>
      </c>
      <c r="N28" s="92">
        <f t="shared" si="2"/>
        <v>0.26759834368529478</v>
      </c>
      <c r="O28" s="92" t="str">
        <f t="shared" si="6"/>
        <v/>
      </c>
      <c r="P28" s="116">
        <f t="shared" si="3"/>
        <v>96.600000000000023</v>
      </c>
      <c r="Q28" s="93">
        <f t="shared" si="7"/>
        <v>0.73240165631470522</v>
      </c>
      <c r="R28" s="93">
        <f t="shared" si="4"/>
        <v>0.73240165631470522</v>
      </c>
      <c r="S28" s="105">
        <f t="shared" si="5"/>
        <v>25.849999999999483</v>
      </c>
      <c r="T28" s="106">
        <f>IFERROR(VLOOKUP(D28,'Data - Data Feed Market'!$A$2:$K$29,11,FALSE),"")</f>
        <v>0.91742000000000001</v>
      </c>
      <c r="U28" s="77"/>
      <c r="V28" s="210">
        <v>0.02</v>
      </c>
      <c r="W28" s="152">
        <f>IFERROR(VLOOKUP(D28,'Data - Data Feed Market'!A:K,2,FALSE),"")</f>
        <v>43979.967361111114</v>
      </c>
    </row>
    <row r="29" spans="2:23" ht="14.4" customHeight="1" x14ac:dyDescent="0.3">
      <c r="B29" s="246"/>
      <c r="C29" s="80">
        <v>24</v>
      </c>
      <c r="D29" s="147" t="s">
        <v>32</v>
      </c>
      <c r="E29" s="2"/>
      <c r="F29" s="125">
        <f>IFERROR(VLOOKUP(D29,'Data - Data Feed Market'!$A$2:$F$29,3,FALSE),"")</f>
        <v>0.64027999999999996</v>
      </c>
      <c r="G29" s="119">
        <f t="shared" si="0"/>
        <v>0.64040999999999992</v>
      </c>
      <c r="H29" s="243"/>
      <c r="I29" s="120">
        <f>IFERROR(VLOOKUP(D29,'Data - Data Feed Market'!$A$2:$F$29,5,FALSE),"")</f>
        <v>2.6000000000003798</v>
      </c>
      <c r="J29" s="126">
        <f>IFERROR(VLOOKUP(D29,'Data - Data Feed Market'!$A$2:$F$29,4,FALSE),"")</f>
        <v>0.64054</v>
      </c>
      <c r="K29" s="86"/>
      <c r="L29" s="98">
        <f>IFERROR(VLOOKUP(D29,'Data - Data Feed Market'!$A$2:$K$29,10,FALSE),"")</f>
        <v>0.63812000000000002</v>
      </c>
      <c r="M29" s="99">
        <f t="shared" si="1"/>
        <v>22.899999999999032</v>
      </c>
      <c r="N29" s="49">
        <f t="shared" si="2"/>
        <v>0.64330218068537226</v>
      </c>
      <c r="O29" s="49">
        <f t="shared" si="6"/>
        <v>-0.64330218068537226</v>
      </c>
      <c r="P29" s="116">
        <f t="shared" si="3"/>
        <v>64.199999999999818</v>
      </c>
      <c r="Q29" s="74" t="str">
        <f t="shared" si="7"/>
        <v/>
      </c>
      <c r="R29" s="74">
        <f t="shared" si="4"/>
        <v>0.35669781931462774</v>
      </c>
      <c r="S29" s="107">
        <f t="shared" si="5"/>
        <v>41.300000000000779</v>
      </c>
      <c r="T29" s="108">
        <f>IFERROR(VLOOKUP(D29,'Data - Data Feed Market'!$A$2:$K$29,11,FALSE),"")</f>
        <v>0.64454</v>
      </c>
      <c r="U29" s="51"/>
      <c r="V29" s="211">
        <v>0.03</v>
      </c>
      <c r="W29" s="153">
        <f>IFERROR(VLOOKUP(D29,'Data - Data Feed Market'!A:K,2,FALSE),"")</f>
        <v>43979.967361111114</v>
      </c>
    </row>
    <row r="30" spans="2:23" ht="14.4" customHeight="1" x14ac:dyDescent="0.3">
      <c r="B30" s="246"/>
      <c r="C30" s="80">
        <v>25</v>
      </c>
      <c r="D30" s="147" t="s">
        <v>9</v>
      </c>
      <c r="E30" s="2"/>
      <c r="F30" s="125">
        <f>IFERROR(VLOOKUP(D30,'Data - Data Feed Market'!$A$2:$F$29,3,FALSE),"")</f>
        <v>1.0686899999999999</v>
      </c>
      <c r="G30" s="119">
        <f t="shared" si="0"/>
        <v>1.068865</v>
      </c>
      <c r="H30" s="243"/>
      <c r="I30" s="120">
        <f>IFERROR(VLOOKUP(D30,'Data - Data Feed Market'!$A$2:$F$29,5,FALSE),"")</f>
        <v>3.5000000000007248</v>
      </c>
      <c r="J30" s="126">
        <f>IFERROR(VLOOKUP(D30,'Data - Data Feed Market'!$A$2:$F$29,4,FALSE),"")</f>
        <v>1.06904</v>
      </c>
      <c r="K30" s="86"/>
      <c r="L30" s="98">
        <f>IFERROR(VLOOKUP(D30,'Data - Data Feed Market'!$A$2:$K$29,10,FALSE),"")</f>
        <v>1.0666100000000001</v>
      </c>
      <c r="M30" s="99">
        <f t="shared" si="1"/>
        <v>22.54999999999896</v>
      </c>
      <c r="N30" s="49">
        <f t="shared" si="2"/>
        <v>0.52426160337554606</v>
      </c>
      <c r="O30" s="49">
        <f t="shared" si="6"/>
        <v>-0.52426160337554606</v>
      </c>
      <c r="P30" s="116">
        <f t="shared" si="3"/>
        <v>47.399999999999665</v>
      </c>
      <c r="Q30" s="74" t="str">
        <f t="shared" si="7"/>
        <v/>
      </c>
      <c r="R30" s="74">
        <f t="shared" si="4"/>
        <v>0.47573839662445394</v>
      </c>
      <c r="S30" s="107">
        <f t="shared" si="5"/>
        <v>24.850000000000705</v>
      </c>
      <c r="T30" s="108">
        <f>IFERROR(VLOOKUP(D30,'Data - Data Feed Market'!$A$2:$K$29,11,FALSE),"")</f>
        <v>1.07135</v>
      </c>
      <c r="U30" s="51"/>
      <c r="V30" s="211">
        <v>0.04</v>
      </c>
      <c r="W30" s="153">
        <f>IFERROR(VLOOKUP(D30,'Data - Data Feed Market'!A:K,2,FALSE),"")</f>
        <v>43979.967361111114</v>
      </c>
    </row>
    <row r="31" spans="2:23" ht="14.4" customHeight="1" x14ac:dyDescent="0.3">
      <c r="B31" s="246"/>
      <c r="C31" s="80">
        <v>26</v>
      </c>
      <c r="D31" s="147" t="s">
        <v>13</v>
      </c>
      <c r="E31" s="2"/>
      <c r="F31" s="125">
        <f>IFERROR(VLOOKUP(D31,'Data - Data Feed Market'!$A$2:$F$29,3,FALSE),"")</f>
        <v>0.85572999999999999</v>
      </c>
      <c r="G31" s="119">
        <f t="shared" si="0"/>
        <v>0.85588500000000001</v>
      </c>
      <c r="H31" s="243"/>
      <c r="I31" s="120">
        <f>IFERROR(VLOOKUP(D31,'Data - Data Feed Market'!$A$2:$F$29,5,FALSE),"")</f>
        <v>3.1000000000003247</v>
      </c>
      <c r="J31" s="126">
        <f>IFERROR(VLOOKUP(D31,'Data - Data Feed Market'!$A$2:$F$29,4,FALSE),"")</f>
        <v>0.85604000000000002</v>
      </c>
      <c r="K31" s="86"/>
      <c r="L31" s="98">
        <f>IFERROR(VLOOKUP(D31,'Data - Data Feed Market'!$A$2:$K$29,10,FALSE),"")</f>
        <v>0.84882000000000002</v>
      </c>
      <c r="M31" s="99">
        <f t="shared" si="1"/>
        <v>70.649999999999878</v>
      </c>
      <c r="N31" s="49">
        <f t="shared" si="2"/>
        <v>0.13206388206388742</v>
      </c>
      <c r="O31" s="49" t="str">
        <f t="shared" si="6"/>
        <v/>
      </c>
      <c r="P31" s="116">
        <f t="shared" si="3"/>
        <v>81.400000000000361</v>
      </c>
      <c r="Q31" s="74">
        <f t="shared" si="7"/>
        <v>0.86793611793611258</v>
      </c>
      <c r="R31" s="74">
        <f t="shared" si="4"/>
        <v>0.86793611793611258</v>
      </c>
      <c r="S31" s="107">
        <f t="shared" si="5"/>
        <v>10.750000000000481</v>
      </c>
      <c r="T31" s="108">
        <f>IFERROR(VLOOKUP(D31,'Data - Data Feed Market'!$A$2:$K$29,11,FALSE),"")</f>
        <v>0.85696000000000006</v>
      </c>
      <c r="U31" s="51"/>
      <c r="V31" s="211">
        <v>0.05</v>
      </c>
      <c r="W31" s="153">
        <f>IFERROR(VLOOKUP(D31,'Data - Data Feed Market'!A:K,2,FALSE),"")</f>
        <v>43979.967361111114</v>
      </c>
    </row>
    <row r="32" spans="2:23" ht="14.4" customHeight="1" x14ac:dyDescent="0.3">
      <c r="B32" s="246"/>
      <c r="C32" s="80">
        <v>27</v>
      </c>
      <c r="D32" s="147" t="s">
        <v>28</v>
      </c>
      <c r="E32" s="2"/>
      <c r="F32" s="125">
        <f>IFERROR(VLOOKUP(D32,'Data - Data Feed Market'!$A$2:$F$29,3,FALSE),"")</f>
        <v>0.59902</v>
      </c>
      <c r="G32" s="119">
        <f t="shared" si="0"/>
        <v>0.59916000000000003</v>
      </c>
      <c r="H32" s="243"/>
      <c r="I32" s="120">
        <f>IFERROR(VLOOKUP(D32,'Data - Data Feed Market'!$A$2:$F$29,5,FALSE),"")</f>
        <v>2.8000000000005798</v>
      </c>
      <c r="J32" s="126">
        <f>IFERROR(VLOOKUP(D32,'Data - Data Feed Market'!$A$2:$F$29,4,FALSE),"")</f>
        <v>0.59930000000000005</v>
      </c>
      <c r="K32" s="86"/>
      <c r="L32" s="98">
        <f>IFERROR(VLOOKUP(D32,'Data - Data Feed Market'!$A$2:$K$29,10,FALSE),"")</f>
        <v>0.59726000000000001</v>
      </c>
      <c r="M32" s="99">
        <f t="shared" si="1"/>
        <v>19.000000000000128</v>
      </c>
      <c r="N32" s="49">
        <f t="shared" si="2"/>
        <v>0.60334029227556818</v>
      </c>
      <c r="O32" s="49">
        <f t="shared" si="6"/>
        <v>-0.60334029227556818</v>
      </c>
      <c r="P32" s="116">
        <f t="shared" si="3"/>
        <v>47.899999999999608</v>
      </c>
      <c r="Q32" s="74" t="str">
        <f t="shared" si="7"/>
        <v/>
      </c>
      <c r="R32" s="74">
        <f t="shared" si="4"/>
        <v>0.39665970772443182</v>
      </c>
      <c r="S32" s="107">
        <f t="shared" si="5"/>
        <v>28.89999999999948</v>
      </c>
      <c r="T32" s="108">
        <f>IFERROR(VLOOKUP(D32,'Data - Data Feed Market'!$A$2:$K$29,11,FALSE),"")</f>
        <v>0.60204999999999997</v>
      </c>
      <c r="U32" s="51"/>
      <c r="V32" s="211">
        <v>0.06</v>
      </c>
      <c r="W32" s="153">
        <f>IFERROR(VLOOKUP(D32,'Data - Data Feed Market'!A:K,2,FALSE),"")</f>
        <v>43979.967361111114</v>
      </c>
    </row>
    <row r="33" spans="2:23" ht="14.4" customHeight="1" x14ac:dyDescent="0.3">
      <c r="B33" s="247"/>
      <c r="C33" s="82">
        <v>28</v>
      </c>
      <c r="D33" s="150" t="s">
        <v>31</v>
      </c>
      <c r="E33" s="7"/>
      <c r="F33" s="129">
        <f>IFERROR(VLOOKUP(D33,'Data - Data Feed Market'!$A$2:$F$29,3,FALSE),"")</f>
        <v>0.69994000000000001</v>
      </c>
      <c r="G33" s="130">
        <f t="shared" si="0"/>
        <v>0.70005499999999998</v>
      </c>
      <c r="H33" s="249"/>
      <c r="I33" s="131">
        <f>IFERROR(VLOOKUP(D33,'Data - Data Feed Market'!$A$2:$F$29,5,FALSE),"")</f>
        <v>2.2999999999995246</v>
      </c>
      <c r="J33" s="132">
        <f>IFERROR(VLOOKUP(D33,'Data - Data Feed Market'!$A$2:$F$29,4,FALSE),"")</f>
        <v>0.70016999999999996</v>
      </c>
      <c r="K33" s="87"/>
      <c r="L33" s="101">
        <f>IFERROR(VLOOKUP(D33,'Data - Data Feed Market'!$A$2:$K$29,10,FALSE),"")</f>
        <v>0.69923000000000002</v>
      </c>
      <c r="M33" s="102">
        <f t="shared" si="1"/>
        <v>8.2499999999996465</v>
      </c>
      <c r="N33" s="94">
        <f t="shared" si="2"/>
        <v>0.86430921052632104</v>
      </c>
      <c r="O33" s="94">
        <f t="shared" si="6"/>
        <v>-0.86430921052632104</v>
      </c>
      <c r="P33" s="118">
        <f t="shared" si="3"/>
        <v>60.799999999999741</v>
      </c>
      <c r="Q33" s="95" t="str">
        <f t="shared" si="7"/>
        <v/>
      </c>
      <c r="R33" s="95">
        <f t="shared" si="4"/>
        <v>0.13569078947367896</v>
      </c>
      <c r="S33" s="110">
        <f t="shared" si="5"/>
        <v>52.550000000000097</v>
      </c>
      <c r="T33" s="111">
        <f>IFERROR(VLOOKUP(D33,'Data - Data Feed Market'!$A$2:$K$29,11,FALSE),"")</f>
        <v>0.70530999999999999</v>
      </c>
      <c r="U33" s="79"/>
      <c r="V33" s="212">
        <v>0.04</v>
      </c>
      <c r="W33" s="154">
        <f>IFERROR(VLOOKUP(D33,'Data - Data Feed Market'!A:K,2,FALSE),"")</f>
        <v>43979.967361111114</v>
      </c>
    </row>
    <row r="34" spans="2:23" ht="14.4" customHeight="1" x14ac:dyDescent="0.3">
      <c r="D34" s="37"/>
      <c r="E34" s="37"/>
      <c r="I34" s="38"/>
      <c r="J34" s="54"/>
      <c r="L34" s="65"/>
      <c r="M34" s="66"/>
      <c r="N34" s="67"/>
      <c r="O34" s="67"/>
      <c r="U34" s="6"/>
      <c r="V34" s="39"/>
      <c r="W34" s="22"/>
    </row>
    <row r="35" spans="2:23" ht="14.4" customHeight="1" x14ac:dyDescent="0.3">
      <c r="D35" s="37"/>
      <c r="E35" s="37"/>
      <c r="I35" s="40" t="s">
        <v>49</v>
      </c>
      <c r="J35" s="40" t="s">
        <v>50</v>
      </c>
      <c r="L35" s="65"/>
      <c r="M35" s="66"/>
      <c r="N35" s="67"/>
      <c r="O35" s="67"/>
      <c r="V35" s="238" t="s">
        <v>48</v>
      </c>
      <c r="W35" s="238"/>
    </row>
    <row r="36" spans="2:23" ht="14.4" customHeight="1" x14ac:dyDescent="0.3">
      <c r="D36" s="37"/>
      <c r="E36" s="37"/>
      <c r="H36" s="41" t="s">
        <v>35</v>
      </c>
      <c r="I36" s="42">
        <f>MIN(I6:I33)</f>
        <v>1.2000000000000455</v>
      </c>
      <c r="J36" s="43">
        <v>1.9</v>
      </c>
      <c r="L36" s="65"/>
      <c r="M36" s="66"/>
      <c r="N36" s="67"/>
      <c r="O36" s="67"/>
      <c r="S36" s="229"/>
      <c r="T36" s="229"/>
      <c r="V36" s="238"/>
      <c r="W36" s="238"/>
    </row>
    <row r="37" spans="2:23" ht="14.4" customHeight="1" x14ac:dyDescent="0.3">
      <c r="D37" s="37"/>
      <c r="E37" s="37"/>
      <c r="H37" s="41" t="s">
        <v>36</v>
      </c>
      <c r="I37" s="44">
        <f>MAX(I6:I33)</f>
        <v>6.599999999998829</v>
      </c>
      <c r="J37" s="45">
        <v>3</v>
      </c>
      <c r="L37" s="65"/>
      <c r="M37" s="66"/>
      <c r="N37" s="67"/>
      <c r="O37" s="67"/>
      <c r="S37" s="229"/>
      <c r="T37" s="229"/>
      <c r="V37" s="238"/>
      <c r="W37" s="238"/>
    </row>
    <row r="38" spans="2:23" ht="4.05" customHeight="1" x14ac:dyDescent="0.3">
      <c r="D38" s="46"/>
      <c r="E38" s="46"/>
    </row>
    <row r="39" spans="2:23" x14ac:dyDescent="0.3">
      <c r="D39" s="47"/>
      <c r="E39" s="47"/>
      <c r="J39" s="47"/>
      <c r="L39" s="68"/>
      <c r="M39" s="69"/>
      <c r="N39" s="70"/>
      <c r="O39" s="70"/>
    </row>
    <row r="40" spans="2:23" x14ac:dyDescent="0.3">
      <c r="D40" s="47"/>
      <c r="E40" s="47"/>
      <c r="I40" s="48"/>
      <c r="J40" s="47"/>
      <c r="L40" s="68"/>
      <c r="M40" s="69"/>
      <c r="N40" s="70"/>
      <c r="O40" s="70"/>
      <c r="V40" s="48"/>
      <c r="W40" s="48"/>
    </row>
    <row r="41" spans="2:23" x14ac:dyDescent="0.3">
      <c r="V41" s="22"/>
      <c r="W41" s="22"/>
    </row>
    <row r="42" spans="2:23" x14ac:dyDescent="0.3">
      <c r="V42" s="22"/>
      <c r="W42" s="46"/>
    </row>
    <row r="43" spans="2:23" x14ac:dyDescent="0.3">
      <c r="V43" s="22"/>
      <c r="W43" s="46"/>
    </row>
    <row r="44" spans="2:23" x14ac:dyDescent="0.3">
      <c r="V44" s="22"/>
      <c r="W44" s="46"/>
    </row>
    <row r="45" spans="2:23" x14ac:dyDescent="0.3">
      <c r="V45" s="22"/>
      <c r="W45" s="46"/>
    </row>
    <row r="46" spans="2:23" x14ac:dyDescent="0.3">
      <c r="V46" s="22"/>
      <c r="W46" s="46"/>
    </row>
    <row r="47" spans="2:23" x14ac:dyDescent="0.3">
      <c r="V47" s="22"/>
      <c r="W47" s="46"/>
    </row>
    <row r="48" spans="2:23" x14ac:dyDescent="0.3">
      <c r="V48" s="22"/>
      <c r="W48" s="46"/>
    </row>
    <row r="49" spans="9:23" x14ac:dyDescent="0.3">
      <c r="V49" s="22"/>
      <c r="W49" s="46"/>
    </row>
    <row r="50" spans="9:23" x14ac:dyDescent="0.3">
      <c r="V50" s="22"/>
      <c r="W50" s="46"/>
    </row>
    <row r="51" spans="9:23" x14ac:dyDescent="0.3">
      <c r="V51" s="22"/>
      <c r="W51" s="46"/>
    </row>
    <row r="52" spans="9:23" x14ac:dyDescent="0.3">
      <c r="V52" s="22"/>
      <c r="W52" s="46"/>
    </row>
    <row r="53" spans="9:23" x14ac:dyDescent="0.3">
      <c r="V53" s="22"/>
      <c r="W53" s="46"/>
    </row>
    <row r="54" spans="9:23" x14ac:dyDescent="0.3">
      <c r="V54" s="22"/>
      <c r="W54" s="46"/>
    </row>
    <row r="55" spans="9:23" x14ac:dyDescent="0.3">
      <c r="V55" s="22"/>
      <c r="W55" s="46"/>
    </row>
    <row r="56" spans="9:23" x14ac:dyDescent="0.3">
      <c r="V56" s="22"/>
      <c r="W56" s="46"/>
    </row>
    <row r="57" spans="9:23" x14ac:dyDescent="0.3">
      <c r="V57" s="22"/>
      <c r="W57" s="46"/>
    </row>
    <row r="58" spans="9:23" x14ac:dyDescent="0.3">
      <c r="V58" s="22"/>
      <c r="W58" s="46"/>
    </row>
    <row r="59" spans="9:23" x14ac:dyDescent="0.3">
      <c r="I59" s="22"/>
      <c r="V59" s="22"/>
      <c r="W59" s="46"/>
    </row>
  </sheetData>
  <mergeCells count="16">
    <mergeCell ref="B6:B12"/>
    <mergeCell ref="H6:H12"/>
    <mergeCell ref="B28:B33"/>
    <mergeCell ref="H28:H33"/>
    <mergeCell ref="B13:B17"/>
    <mergeCell ref="H13:H17"/>
    <mergeCell ref="B18:B21"/>
    <mergeCell ref="H18:H21"/>
    <mergeCell ref="B22:B27"/>
    <mergeCell ref="H22:H27"/>
    <mergeCell ref="C2:W3"/>
    <mergeCell ref="S36:T37"/>
    <mergeCell ref="M5:O5"/>
    <mergeCell ref="Q5:S5"/>
    <mergeCell ref="H5:I5"/>
    <mergeCell ref="V35:W37"/>
  </mergeCells>
  <conditionalFormatting sqref="Q6:Q33">
    <cfRule type="dataBar" priority="21">
      <dataBar showValue="0">
        <cfvo type="num" val="0.5"/>
        <cfvo type="num" val="1"/>
        <color rgb="FF63C384"/>
      </dataBar>
      <extLst>
        <ext xmlns:x14="http://schemas.microsoft.com/office/spreadsheetml/2009/9/main" uri="{B025F937-C7B1-47D3-B67F-A62EFF666E3E}">
          <x14:id>{68888548-E113-4874-A63A-3DA57B53990D}</x14:id>
        </ext>
      </extLst>
    </cfRule>
  </conditionalFormatting>
  <conditionalFormatting sqref="O6:O33">
    <cfRule type="dataBar" priority="20">
      <dataBar showValue="0">
        <cfvo type="num" val="-1"/>
        <cfvo type="num" val="-0.5"/>
        <color rgb="FF63C384"/>
      </dataBar>
      <extLst>
        <ext xmlns:x14="http://schemas.microsoft.com/office/spreadsheetml/2009/9/main" uri="{B025F937-C7B1-47D3-B67F-A62EFF666E3E}">
          <x14:id>{79ED77C3-88DB-41AF-9899-A3F886FE0FDB}</x14:id>
        </ext>
      </extLst>
    </cfRule>
  </conditionalFormatting>
  <conditionalFormatting sqref="I6:I33">
    <cfRule type="top10" dxfId="6" priority="13" bottom="1" rank="2"/>
    <cfRule type="cellIs" dxfId="5" priority="120" operator="greaterThan">
      <formula>$J$37</formula>
    </cfRule>
    <cfRule type="cellIs" dxfId="4" priority="121" operator="lessThan">
      <formula>$J$36</formula>
    </cfRule>
  </conditionalFormatting>
  <conditionalFormatting sqref="V35">
    <cfRule type="containsText" dxfId="3" priority="16" operator="containsText" text="Pair Specs">
      <formula>NOT(ISERROR(SEARCH("Pair Specs",V35)))</formula>
    </cfRule>
    <cfRule type="containsText" dxfId="2" priority="17" operator="containsText" text="DDE">
      <formula>NOT(ISERROR(SEARCH("DDE",V35)))</formula>
    </cfRule>
  </conditionalFormatting>
  <conditionalFormatting sqref="H6:H33">
    <cfRule type="top10" dxfId="1" priority="14" rank="1"/>
    <cfRule type="top10" dxfId="0" priority="15" bottom="1" rank="1"/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888548-E113-4874-A63A-3DA57B53990D}">
            <x14:dataBar minLength="0" maxLength="100" gradient="0">
              <x14:cfvo type="num">
                <xm:f>0.5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Q6:Q33</xm:sqref>
        </x14:conditionalFormatting>
        <x14:conditionalFormatting xmlns:xm="http://schemas.microsoft.com/office/excel/2006/main">
          <x14:cfRule type="dataBar" id="{79ED77C3-88DB-41AF-9899-A3F886FE0FDB}">
            <x14:dataBar minLength="0" maxLength="100" gradient="0">
              <x14:cfvo type="num">
                <xm:f>-1</xm:f>
              </x14:cfvo>
              <x14:cfvo type="num">
                <xm:f>-0.5</xm:f>
              </x14:cfvo>
              <x14:negativeFillColor rgb="FFFF0000"/>
              <x14:axisColor rgb="FF000000"/>
            </x14:dataBar>
          </x14:cfRule>
          <xm:sqref>O6:O33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427E2-B1E6-46EC-BB14-797EEC8E4CF4}">
  <dimension ref="B2:R28"/>
  <sheetViews>
    <sheetView workbookViewId="0">
      <selection activeCell="M7" sqref="M7"/>
    </sheetView>
  </sheetViews>
  <sheetFormatPr defaultRowHeight="14.4" x14ac:dyDescent="0.3"/>
  <cols>
    <col min="1" max="16384" width="8.88671875" style="5"/>
  </cols>
  <sheetData>
    <row r="2" spans="2:10" x14ac:dyDescent="0.3">
      <c r="B2" s="266" t="s">
        <v>16</v>
      </c>
      <c r="C2" s="266"/>
      <c r="D2" s="266"/>
      <c r="E2" s="266"/>
      <c r="F2" s="260">
        <f>VLOOKUP(B2,'Data - Pip Values'!A:L,12,FALSE)</f>
        <v>7.260266016146832</v>
      </c>
      <c r="G2" s="260"/>
      <c r="H2" s="216"/>
      <c r="I2" s="262" t="s">
        <v>83</v>
      </c>
      <c r="J2" s="263"/>
    </row>
    <row r="3" spans="2:10" x14ac:dyDescent="0.3">
      <c r="B3" s="266"/>
      <c r="C3" s="266"/>
      <c r="D3" s="266"/>
      <c r="E3" s="266"/>
      <c r="F3" s="260"/>
      <c r="G3" s="260"/>
      <c r="H3" s="216"/>
      <c r="I3" s="220" t="s">
        <v>39</v>
      </c>
      <c r="J3" s="221">
        <f>VLOOKUP(B2,'Data - Data Feed Market'!A:K,4,FALSE)</f>
        <v>0.91493000000000002</v>
      </c>
    </row>
    <row r="4" spans="2:10" x14ac:dyDescent="0.3">
      <c r="B4" s="266"/>
      <c r="C4" s="266"/>
      <c r="D4" s="266"/>
      <c r="E4" s="266"/>
      <c r="F4" s="260"/>
      <c r="G4" s="260"/>
      <c r="H4" s="216"/>
      <c r="I4" s="220" t="s">
        <v>38</v>
      </c>
      <c r="J4" s="221">
        <f>VLOOKUP(B2,'Data - Data Feed Market'!A:K,3,FALSE)</f>
        <v>0.91474</v>
      </c>
    </row>
    <row r="5" spans="2:10" x14ac:dyDescent="0.3">
      <c r="B5" s="266"/>
      <c r="C5" s="266"/>
      <c r="D5" s="266"/>
      <c r="E5" s="266"/>
      <c r="F5" s="260"/>
      <c r="G5" s="260"/>
      <c r="H5" s="216"/>
      <c r="I5" s="220" t="s">
        <v>41</v>
      </c>
      <c r="J5" s="221">
        <f>VLOOKUP(B2,'Data - Data Feed Market'!A:K,5,FALSE)</f>
        <v>1.9000000000002348</v>
      </c>
    </row>
    <row r="6" spans="2:10" x14ac:dyDescent="0.3">
      <c r="B6" s="266"/>
      <c r="C6" s="266"/>
      <c r="D6" s="266"/>
      <c r="E6" s="266"/>
      <c r="F6" s="260"/>
      <c r="G6" s="260"/>
      <c r="H6" s="216"/>
      <c r="I6" s="218"/>
      <c r="J6" s="222"/>
    </row>
    <row r="7" spans="2:10" x14ac:dyDescent="0.3">
      <c r="B7" s="265" t="s">
        <v>55</v>
      </c>
      <c r="C7" s="265"/>
      <c r="D7" s="265"/>
      <c r="E7" s="265"/>
      <c r="F7" s="261" t="s">
        <v>65</v>
      </c>
      <c r="G7" s="261"/>
      <c r="H7" s="216"/>
      <c r="I7" s="220" t="s">
        <v>40</v>
      </c>
      <c r="J7" s="227">
        <f>VLOOKUP(B2,'Market Data'!D6:V33,19,FALSE)</f>
        <v>0.02</v>
      </c>
    </row>
    <row r="8" spans="2:10" x14ac:dyDescent="0.3">
      <c r="B8" s="6"/>
      <c r="C8" s="222"/>
      <c r="D8" s="222"/>
      <c r="E8" s="6"/>
      <c r="F8" s="222"/>
      <c r="G8" s="222"/>
      <c r="H8" s="216"/>
      <c r="I8" s="218"/>
      <c r="J8" s="223"/>
    </row>
    <row r="9" spans="2:10" x14ac:dyDescent="0.3">
      <c r="C9" s="264">
        <v>1.2</v>
      </c>
      <c r="D9" s="264"/>
      <c r="F9" s="268">
        <f>E28</f>
        <v>1594.1039999999998</v>
      </c>
      <c r="G9" s="268"/>
      <c r="H9" s="216"/>
      <c r="I9" s="217"/>
      <c r="J9" s="217"/>
    </row>
    <row r="10" spans="2:10" x14ac:dyDescent="0.3">
      <c r="C10" s="264"/>
      <c r="D10" s="264"/>
      <c r="F10" s="268"/>
      <c r="G10" s="268"/>
      <c r="H10" s="216"/>
      <c r="I10" s="217"/>
      <c r="J10" s="217"/>
    </row>
    <row r="11" spans="2:10" x14ac:dyDescent="0.3">
      <c r="C11" s="264"/>
      <c r="D11" s="264"/>
      <c r="F11" s="268"/>
      <c r="G11" s="268"/>
      <c r="H11" s="216"/>
      <c r="I11" s="217"/>
      <c r="J11" s="217"/>
    </row>
    <row r="12" spans="2:10" x14ac:dyDescent="0.3">
      <c r="C12" s="265" t="s">
        <v>69</v>
      </c>
      <c r="D12" s="265"/>
      <c r="F12" s="267" t="s">
        <v>81</v>
      </c>
      <c r="G12" s="267"/>
      <c r="H12" s="216"/>
      <c r="I12" s="256"/>
      <c r="J12" s="256"/>
    </row>
    <row r="13" spans="2:10" x14ac:dyDescent="0.3">
      <c r="B13" s="6"/>
      <c r="C13" s="6"/>
      <c r="D13" s="213"/>
      <c r="E13" s="213"/>
    </row>
    <row r="14" spans="2:10" x14ac:dyDescent="0.3">
      <c r="B14" s="6"/>
      <c r="C14" s="6"/>
      <c r="D14" s="213"/>
      <c r="E14" s="213"/>
    </row>
    <row r="15" spans="2:10" x14ac:dyDescent="0.3">
      <c r="B15" s="6"/>
      <c r="C15" s="6"/>
      <c r="D15" s="213"/>
      <c r="E15" s="213"/>
    </row>
    <row r="16" spans="2:10" x14ac:dyDescent="0.3">
      <c r="B16" s="6"/>
      <c r="C16" s="6"/>
      <c r="D16" s="213"/>
      <c r="E16" s="213"/>
    </row>
    <row r="17" spans="2:18" x14ac:dyDescent="0.3">
      <c r="B17" s="257" t="s">
        <v>82</v>
      </c>
      <c r="C17" s="258"/>
      <c r="D17" s="258"/>
      <c r="E17" s="259"/>
    </row>
    <row r="18" spans="2:18" s="214" customFormat="1" ht="10.199999999999999" x14ac:dyDescent="0.2">
      <c r="B18" s="219" t="s">
        <v>69</v>
      </c>
      <c r="C18" s="219" t="s">
        <v>70</v>
      </c>
      <c r="D18" s="219" t="s">
        <v>40</v>
      </c>
      <c r="E18" s="219" t="s">
        <v>71</v>
      </c>
      <c r="R18" s="215"/>
    </row>
    <row r="19" spans="2:18" x14ac:dyDescent="0.3">
      <c r="B19" s="224">
        <f>C9</f>
        <v>1.2</v>
      </c>
      <c r="C19" s="219">
        <v>100000</v>
      </c>
      <c r="D19" s="225">
        <f>J7</f>
        <v>0.02</v>
      </c>
      <c r="E19" s="224">
        <f>(B19*C19)*D19</f>
        <v>2400</v>
      </c>
    </row>
    <row r="20" spans="2:18" x14ac:dyDescent="0.3">
      <c r="B20" s="219"/>
      <c r="C20" s="219"/>
      <c r="D20" s="219"/>
      <c r="E20" s="219"/>
    </row>
    <row r="21" spans="2:18" x14ac:dyDescent="0.3">
      <c r="B21" s="219" t="s">
        <v>72</v>
      </c>
      <c r="C21" s="219" t="s">
        <v>79</v>
      </c>
      <c r="D21" s="219" t="s">
        <v>80</v>
      </c>
      <c r="E21" s="219" t="s">
        <v>73</v>
      </c>
    </row>
    <row r="22" spans="2:18" x14ac:dyDescent="0.3">
      <c r="B22" s="219" t="str">
        <f>B2</f>
        <v>AUDCAD</v>
      </c>
      <c r="C22" s="219" t="str">
        <f>LEFT(B22,3)</f>
        <v>AUD</v>
      </c>
      <c r="D22" s="219" t="str">
        <f>RIGHT(B22,3)</f>
        <v>CAD</v>
      </c>
      <c r="E22" s="226">
        <f>J3</f>
        <v>0.91493000000000002</v>
      </c>
    </row>
    <row r="23" spans="2:18" x14ac:dyDescent="0.3">
      <c r="B23" s="219"/>
      <c r="C23" s="219"/>
      <c r="D23" s="219"/>
      <c r="E23" s="219"/>
    </row>
    <row r="24" spans="2:18" x14ac:dyDescent="0.3">
      <c r="B24" s="219" t="s">
        <v>60</v>
      </c>
      <c r="C24" s="219" t="s">
        <v>74</v>
      </c>
      <c r="D24" s="219" t="s">
        <v>75</v>
      </c>
      <c r="E24" s="219"/>
    </row>
    <row r="25" spans="2:18" x14ac:dyDescent="0.3">
      <c r="B25" s="219" t="b">
        <f>ISNUMBER(SEARCH("USD",B22))</f>
        <v>0</v>
      </c>
      <c r="C25" s="219" t="str">
        <f>IF(C22="USD","TRUE","FALSE")</f>
        <v>FALSE</v>
      </c>
      <c r="D25" s="219" t="str">
        <f>IF(D22="USD","TRUE","FALSE")</f>
        <v>FALSE</v>
      </c>
      <c r="E25" s="219"/>
    </row>
    <row r="26" spans="2:18" x14ac:dyDescent="0.3">
      <c r="B26" s="219"/>
      <c r="C26" s="219"/>
      <c r="D26" s="219"/>
      <c r="E26" s="219"/>
    </row>
    <row r="27" spans="2:18" x14ac:dyDescent="0.3">
      <c r="B27" s="219" t="s">
        <v>76</v>
      </c>
      <c r="C27" s="219" t="s">
        <v>77</v>
      </c>
      <c r="D27" s="219" t="s">
        <v>78</v>
      </c>
      <c r="E27" s="219" t="s">
        <v>84</v>
      </c>
    </row>
    <row r="28" spans="2:18" x14ac:dyDescent="0.3">
      <c r="B28" s="219" t="str">
        <f>IF(B25=FALSE,CONCATENATE(C22&amp;"USD"),B22)</f>
        <v>AUDUSD</v>
      </c>
      <c r="C28" s="219" t="str">
        <f>IFERROR(IFERROR(VLOOKUP(B28,'Data - Data Feed Market'!$A$2:$E$29,1,FALSE),VLOOKUP(CONCATENATE("USD"&amp;C22),'Data - Data Feed Market'!$A$2:$E$29,1,FALSE)),"")</f>
        <v>AUDUSD</v>
      </c>
      <c r="D28" s="219">
        <f>IFERROR(VLOOKUP(C28,'Data - Data Feed Market'!$A$2:$E$29,4,FALSE),"ERROR")</f>
        <v>0.66420999999999997</v>
      </c>
      <c r="E28" s="219">
        <f>IFERROR(IF(C25="True",E19,E19*D28),"")</f>
        <v>1594.1039999999998</v>
      </c>
    </row>
  </sheetData>
  <mergeCells count="11">
    <mergeCell ref="I12:J12"/>
    <mergeCell ref="B17:E17"/>
    <mergeCell ref="F2:G6"/>
    <mergeCell ref="F7:G7"/>
    <mergeCell ref="I2:J2"/>
    <mergeCell ref="C9:D11"/>
    <mergeCell ref="C12:D12"/>
    <mergeCell ref="B2:E6"/>
    <mergeCell ref="B7:E7"/>
    <mergeCell ref="F12:G12"/>
    <mergeCell ref="F9:G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8656D-F9D9-4578-9A21-45B8F81A31AF}">
  <sheetPr codeName="Sheet12"/>
  <dimension ref="A1:M30"/>
  <sheetViews>
    <sheetView workbookViewId="0">
      <selection activeCell="D2" sqref="D2"/>
    </sheetView>
  </sheetViews>
  <sheetFormatPr defaultRowHeight="14.4" x14ac:dyDescent="0.3"/>
  <cols>
    <col min="1" max="6" width="15.77734375" style="4" customWidth="1"/>
    <col min="7" max="8" width="15.77734375" style="25" customWidth="1"/>
    <col min="9" max="9" width="15.77734375" style="4" customWidth="1"/>
    <col min="10" max="11" width="14.77734375" style="4" customWidth="1"/>
    <col min="12" max="12" width="13.109375" style="4" customWidth="1"/>
    <col min="13" max="13" width="14.6640625" style="4" bestFit="1" customWidth="1"/>
    <col min="14" max="16384" width="8.88671875" style="4"/>
  </cols>
  <sheetData>
    <row r="1" spans="1:13" s="3" customFormat="1" ht="15" thickBot="1" x14ac:dyDescent="0.35">
      <c r="A1" s="16" t="s">
        <v>37</v>
      </c>
      <c r="B1" s="17" t="s">
        <v>42</v>
      </c>
      <c r="C1" s="9" t="s">
        <v>38</v>
      </c>
      <c r="D1" s="9" t="s">
        <v>39</v>
      </c>
      <c r="E1" s="9" t="s">
        <v>45</v>
      </c>
      <c r="F1" s="9" t="s">
        <v>46</v>
      </c>
      <c r="G1" s="23" t="s">
        <v>43</v>
      </c>
      <c r="H1" s="23" t="s">
        <v>44</v>
      </c>
      <c r="I1" s="9" t="s">
        <v>47</v>
      </c>
      <c r="J1" s="9" t="s">
        <v>5</v>
      </c>
      <c r="K1" s="9" t="s">
        <v>4</v>
      </c>
      <c r="L1" s="26" t="s">
        <v>48</v>
      </c>
    </row>
    <row r="2" spans="1:13" x14ac:dyDescent="0.3">
      <c r="A2" s="10" t="s">
        <v>16</v>
      </c>
      <c r="B2" s="13">
        <f>IF($L$1="DDE",VLOOKUP(A2,'Data - DDE'!$A$2:$G$29,2,FALSE),VLOOKUP(A2,#REF!,2,FALSE))</f>
        <v>43979.967361111114</v>
      </c>
      <c r="C2" s="18">
        <f>IF($L$1="DDE",VLOOKUP(A2,'Data - DDE'!$A$2:$G$29,3,FALSE),"")</f>
        <v>0.91474</v>
      </c>
      <c r="D2" s="18">
        <f>IF($L$1="DDE",VLOOKUP(A2,'Data - DDE'!$A$2:$G$29,4,FALSE),"")</f>
        <v>0.91493000000000002</v>
      </c>
      <c r="E2" s="14">
        <f>IF(ISNUMBER(SEARCH("JPY",A2)),((D2-C2)*100),((D2-C2)*10000))</f>
        <v>1.9000000000002348</v>
      </c>
      <c r="F2" s="19">
        <f>IF(ISNUMBER(SEARCH("JPY",A2)),((D2-C2)),((D2-C2)))</f>
        <v>1.9000000000002348E-4</v>
      </c>
      <c r="G2" s="24"/>
      <c r="H2" s="24"/>
      <c r="I2" s="15">
        <f>AVERAGE(C2:D2)</f>
        <v>0.91483500000000006</v>
      </c>
      <c r="J2" s="1">
        <f>IF($L$1="DDE",VLOOKUP(A2,'Data - DDE'!$A$2:$I$29,8,FALSE),"")</f>
        <v>0.90776000000000001</v>
      </c>
      <c r="K2" s="4">
        <f>IF($L$1="DDE",VLOOKUP(A2,'Data - DDE'!$A$2:$I$29,9,FALSE),"")</f>
        <v>0.91742000000000001</v>
      </c>
      <c r="L2" s="12"/>
      <c r="M2" s="13"/>
    </row>
    <row r="3" spans="1:13" x14ac:dyDescent="0.3">
      <c r="A3" s="10" t="s">
        <v>32</v>
      </c>
      <c r="B3" s="13">
        <f>IF($L$1="DDE",VLOOKUP(A3,'Data - DDE'!$A$2:$G$29,2,FALSE),VLOOKUP(A3,#REF!,2,FALSE))</f>
        <v>43979.967361111114</v>
      </c>
      <c r="C3" s="18">
        <f>IF($L$1="DDE",VLOOKUP(A3,'Data - DDE'!$A$2:$G$29,3,FALSE),"")</f>
        <v>0.64027999999999996</v>
      </c>
      <c r="D3" s="18">
        <f>IF($L$1="DDE",VLOOKUP(A3,'Data - DDE'!$A$2:$G$29,4,FALSE),"")</f>
        <v>0.64054</v>
      </c>
      <c r="E3" s="14">
        <f t="shared" ref="E3:E17" si="0">IF(ISNUMBER(SEARCH("JPY",A3)),((D3-C3)*100),((D3-C3)*10000))</f>
        <v>2.6000000000003798</v>
      </c>
      <c r="F3" s="19">
        <f t="shared" ref="F3:F17" si="1">IF(ISNUMBER(SEARCH("JPY",A3)),((D3-C3)),((D3-C3)))</f>
        <v>2.6000000000003798E-4</v>
      </c>
      <c r="G3" s="24"/>
      <c r="H3" s="24"/>
      <c r="I3" s="15">
        <f t="shared" ref="I3:I17" si="2">AVERAGE(C3:D3)</f>
        <v>0.64040999999999992</v>
      </c>
      <c r="J3" s="1">
        <f>IF($L$1="DDE",VLOOKUP(A3,'Data - DDE'!$A$2:$I$29,8,FALSE),"")</f>
        <v>0.63812000000000002</v>
      </c>
      <c r="K3" s="4">
        <f>IF($L$1="DDE",VLOOKUP(A3,'Data - DDE'!$A$2:$I$29,9,FALSE),"")</f>
        <v>0.64454</v>
      </c>
      <c r="L3" s="12"/>
      <c r="M3" s="13"/>
    </row>
    <row r="4" spans="1:13" x14ac:dyDescent="0.3">
      <c r="A4" s="10" t="s">
        <v>23</v>
      </c>
      <c r="B4" s="13">
        <f>IF($L$1="DDE",VLOOKUP(A4,'Data - DDE'!$A$2:$G$29,2,FALSE),VLOOKUP(A4,#REF!,2,FALSE))</f>
        <v>43979.967361111114</v>
      </c>
      <c r="C4" s="18">
        <f>IF($L$1="DDE",VLOOKUP(A4,'Data - DDE'!$A$2:$G$29,3,FALSE),"")</f>
        <v>71.459999999999994</v>
      </c>
      <c r="D4" s="18">
        <f>IF($L$1="DDE",VLOOKUP(A4,'Data - DDE'!$A$2:$G$29,4,FALSE),"")</f>
        <v>71.475999999999999</v>
      </c>
      <c r="E4" s="14">
        <f t="shared" si="0"/>
        <v>1.6000000000005343</v>
      </c>
      <c r="F4" s="19">
        <f t="shared" si="1"/>
        <v>1.6000000000005343E-2</v>
      </c>
      <c r="G4" s="24"/>
      <c r="H4" s="24"/>
      <c r="I4" s="15">
        <f t="shared" si="2"/>
        <v>71.467999999999989</v>
      </c>
      <c r="J4" s="1">
        <f>IF($L$1="DDE",VLOOKUP(A4,'Data - DDE'!$A$2:$I$29,8,FALSE),"")</f>
        <v>71.007999999999996</v>
      </c>
      <c r="K4" s="4">
        <f>IF($L$1="DDE",VLOOKUP(A4,'Data - DDE'!$A$2:$I$29,9,FALSE),"")</f>
        <v>71.771000000000001</v>
      </c>
      <c r="L4" s="12"/>
      <c r="M4" s="13"/>
    </row>
    <row r="5" spans="1:13" x14ac:dyDescent="0.3">
      <c r="A5" s="10" t="s">
        <v>9</v>
      </c>
      <c r="B5" s="13">
        <f>IF($L$1="DDE",VLOOKUP(A5,'Data - DDE'!$A$2:$G$29,2,FALSE),VLOOKUP(A5,#REF!,2,FALSE))</f>
        <v>43979.967361111114</v>
      </c>
      <c r="C5" s="18">
        <f>IF($L$1="DDE",VLOOKUP(A5,'Data - DDE'!$A$2:$G$29,3,FALSE),"")</f>
        <v>1.0686899999999999</v>
      </c>
      <c r="D5" s="18">
        <f>IF($L$1="DDE",VLOOKUP(A5,'Data - DDE'!$A$2:$G$29,4,FALSE),"")</f>
        <v>1.06904</v>
      </c>
      <c r="E5" s="14">
        <f t="shared" si="0"/>
        <v>3.5000000000007248</v>
      </c>
      <c r="F5" s="19">
        <f t="shared" si="1"/>
        <v>3.5000000000007248E-4</v>
      </c>
      <c r="G5" s="24"/>
      <c r="H5" s="24"/>
      <c r="I5" s="15">
        <f t="shared" si="2"/>
        <v>1.068865</v>
      </c>
      <c r="J5" s="1">
        <f>IF($L$1="DDE",VLOOKUP(A5,'Data - DDE'!$A$2:$I$29,8,FALSE),"")</f>
        <v>1.0666100000000001</v>
      </c>
      <c r="K5" s="4">
        <f>IF($L$1="DDE",VLOOKUP(A5,'Data - DDE'!$A$2:$I$29,9,FALSE),"")</f>
        <v>1.07135</v>
      </c>
      <c r="L5" s="12"/>
      <c r="M5" s="13"/>
    </row>
    <row r="6" spans="1:13" x14ac:dyDescent="0.3">
      <c r="A6" s="10" t="s">
        <v>26</v>
      </c>
      <c r="B6" s="13">
        <f>IF($L$1="DDE",VLOOKUP(A6,'Data - DDE'!$A$2:$G$29,2,FALSE),VLOOKUP(A6,#REF!,2,FALSE))</f>
        <v>43979.967361111114</v>
      </c>
      <c r="C6" s="18">
        <f>IF($L$1="DDE",VLOOKUP(A6,'Data - DDE'!$A$2:$G$29,3,FALSE),"")</f>
        <v>0.66405000000000003</v>
      </c>
      <c r="D6" s="18">
        <f>IF($L$1="DDE",VLOOKUP(A6,'Data - DDE'!$A$2:$G$29,4,FALSE),"")</f>
        <v>0.66420999999999997</v>
      </c>
      <c r="E6" s="14">
        <f t="shared" si="0"/>
        <v>1.5999999999993797</v>
      </c>
      <c r="F6" s="19">
        <f t="shared" si="1"/>
        <v>1.5999999999993797E-4</v>
      </c>
      <c r="G6" s="24"/>
      <c r="H6" s="24"/>
      <c r="I6" s="15">
        <f t="shared" si="2"/>
        <v>0.66413</v>
      </c>
      <c r="J6" s="1">
        <f>IF($L$1="DDE",VLOOKUP(A6,'Data - DDE'!$A$2:$I$29,8,FALSE),"")</f>
        <v>0.65878000000000003</v>
      </c>
      <c r="K6" s="4">
        <f>IF($L$1="DDE",VLOOKUP(A6,'Data - DDE'!$A$2:$I$29,9,FALSE),"")</f>
        <v>0.66668000000000005</v>
      </c>
      <c r="L6" s="12"/>
      <c r="M6" s="13"/>
    </row>
    <row r="7" spans="1:13" x14ac:dyDescent="0.3">
      <c r="A7" s="10" t="s">
        <v>31</v>
      </c>
      <c r="B7" s="13">
        <f>IF($L$1="DDE",VLOOKUP(A7,'Data - DDE'!$A$2:$G$29,2,FALSE),VLOOKUP(A7,#REF!,2,FALSE))</f>
        <v>43979.967361111114</v>
      </c>
      <c r="C7" s="18">
        <f>IF($L$1="DDE",VLOOKUP(A7,'Data - DDE'!$A$2:$G$29,3,FALSE),"")</f>
        <v>0.69994000000000001</v>
      </c>
      <c r="D7" s="18">
        <f>IF($L$1="DDE",VLOOKUP(A7,'Data - DDE'!$A$2:$G$29,4,FALSE),"")</f>
        <v>0.70016999999999996</v>
      </c>
      <c r="E7" s="14">
        <f t="shared" si="0"/>
        <v>2.2999999999995246</v>
      </c>
      <c r="F7" s="19">
        <f t="shared" si="1"/>
        <v>2.2999999999995246E-4</v>
      </c>
      <c r="G7" s="24"/>
      <c r="H7" s="24"/>
      <c r="I7" s="15">
        <f t="shared" si="2"/>
        <v>0.70005499999999998</v>
      </c>
      <c r="J7" s="1">
        <f>IF($L$1="DDE",VLOOKUP(A7,'Data - DDE'!$A$2:$I$29,8,FALSE),"")</f>
        <v>0.69923000000000002</v>
      </c>
      <c r="K7" s="4">
        <f>IF($L$1="DDE",VLOOKUP(A7,'Data - DDE'!$A$2:$I$29,9,FALSE),"")</f>
        <v>0.70530999999999999</v>
      </c>
      <c r="L7" s="12"/>
      <c r="M7" s="13"/>
    </row>
    <row r="8" spans="1:13" x14ac:dyDescent="0.3">
      <c r="A8" s="10" t="s">
        <v>22</v>
      </c>
      <c r="B8" s="13">
        <f>IF($L$1="DDE",VLOOKUP(A8,'Data - DDE'!$A$2:$G$29,2,FALSE),VLOOKUP(A8,#REF!,2,FALSE))</f>
        <v>43979.967361111114</v>
      </c>
      <c r="C8" s="18">
        <f>IF($L$1="DDE",VLOOKUP(A8,'Data - DDE'!$A$2:$G$29,3,FALSE),"")</f>
        <v>78.111000000000004</v>
      </c>
      <c r="D8" s="18">
        <f>IF($L$1="DDE",VLOOKUP(A8,'Data - DDE'!$A$2:$G$29,4,FALSE),"")</f>
        <v>78.13</v>
      </c>
      <c r="E8" s="14">
        <f t="shared" si="0"/>
        <v>1.8999999999991246</v>
      </c>
      <c r="F8" s="19">
        <f t="shared" si="1"/>
        <v>1.8999999999991246E-2</v>
      </c>
      <c r="G8" s="24"/>
      <c r="H8" s="24"/>
      <c r="I8" s="15">
        <f t="shared" si="2"/>
        <v>78.120499999999993</v>
      </c>
      <c r="J8" s="1">
        <f>IF($L$1="DDE",VLOOKUP(A8,'Data - DDE'!$A$2:$I$29,8,FALSE),"")</f>
        <v>78.031000000000006</v>
      </c>
      <c r="K8" s="4">
        <f>IF($L$1="DDE",VLOOKUP(A8,'Data - DDE'!$A$2:$I$29,9,FALSE),"")</f>
        <v>78.495999999999995</v>
      </c>
      <c r="L8" s="12"/>
      <c r="M8" s="13"/>
    </row>
    <row r="9" spans="1:13" x14ac:dyDescent="0.3">
      <c r="A9" s="10" t="s">
        <v>21</v>
      </c>
      <c r="B9" s="13">
        <f>IF($L$1="DDE",VLOOKUP(A9,'Data - DDE'!$A$2:$G$29,2,FALSE),VLOOKUP(A9,#REF!,2,FALSE))</f>
        <v>43979.967361111114</v>
      </c>
      <c r="C9" s="18">
        <f>IF($L$1="DDE",VLOOKUP(A9,'Data - DDE'!$A$2:$G$29,3,FALSE),"")</f>
        <v>111.586</v>
      </c>
      <c r="D9" s="18">
        <f>IF($L$1="DDE",VLOOKUP(A9,'Data - DDE'!$A$2:$G$29,4,FALSE),"")</f>
        <v>111.605</v>
      </c>
      <c r="E9" s="14">
        <f t="shared" si="0"/>
        <v>1.9000000000005457</v>
      </c>
      <c r="F9" s="19">
        <f t="shared" si="1"/>
        <v>1.9000000000005457E-2</v>
      </c>
      <c r="G9" s="24"/>
      <c r="H9" s="24"/>
      <c r="I9" s="15">
        <f t="shared" si="2"/>
        <v>111.5955</v>
      </c>
      <c r="J9" s="1">
        <f>IF($L$1="DDE",VLOOKUP(A9,'Data - DDE'!$A$2:$I$29,8,FALSE),"")</f>
        <v>110.79600000000001</v>
      </c>
      <c r="K9" s="4">
        <f>IF($L$1="DDE",VLOOKUP(A9,'Data - DDE'!$A$2:$I$29,9,FALSE),"")</f>
        <v>111.765</v>
      </c>
      <c r="L9" s="12"/>
      <c r="M9" s="13"/>
    </row>
    <row r="10" spans="1:13" x14ac:dyDescent="0.3">
      <c r="A10" s="10" t="s">
        <v>11</v>
      </c>
      <c r="B10" s="13">
        <f>IF($L$1="DDE",VLOOKUP(A10,'Data - DDE'!$A$2:$G$29,2,FALSE),VLOOKUP(A10,#REF!,2,FALSE))</f>
        <v>43979.967361111114</v>
      </c>
      <c r="C10" s="18">
        <f>IF($L$1="DDE",VLOOKUP(A10,'Data - DDE'!$A$2:$G$29,3,FALSE),"")</f>
        <v>1.6671499999999999</v>
      </c>
      <c r="D10" s="18">
        <f>IF($L$1="DDE",VLOOKUP(A10,'Data - DDE'!$A$2:$G$29,4,FALSE),"")</f>
        <v>1.66743</v>
      </c>
      <c r="E10" s="14">
        <f t="shared" si="0"/>
        <v>2.8000000000005798</v>
      </c>
      <c r="F10" s="19">
        <f t="shared" si="1"/>
        <v>2.8000000000005798E-4</v>
      </c>
      <c r="G10" s="24"/>
      <c r="H10" s="24"/>
      <c r="I10" s="15">
        <f t="shared" si="2"/>
        <v>1.6672899999999999</v>
      </c>
      <c r="J10" s="1">
        <f>IF($L$1="DDE",VLOOKUP(A10,'Data - DDE'!$A$2:$I$29,8,FALSE),"")</f>
        <v>1.6585300000000001</v>
      </c>
      <c r="K10" s="4">
        <f>IF($L$1="DDE",VLOOKUP(A10,'Data - DDE'!$A$2:$I$29,9,FALSE),"")</f>
        <v>1.67052</v>
      </c>
      <c r="L10" s="12"/>
      <c r="M10" s="13"/>
    </row>
    <row r="11" spans="1:13" x14ac:dyDescent="0.3">
      <c r="A11" s="10" t="s">
        <v>15</v>
      </c>
      <c r="B11" s="13">
        <f>IF($L$1="DDE",VLOOKUP(A11,'Data - DDE'!$A$2:$G$29,2,FALSE),VLOOKUP(A11,#REF!,2,FALSE))</f>
        <v>43979.967361111114</v>
      </c>
      <c r="C11" s="18">
        <f>IF($L$1="DDE",VLOOKUP(A11,'Data - DDE'!$A$2:$G$29,3,FALSE),"")</f>
        <v>1.52515</v>
      </c>
      <c r="D11" s="18">
        <f>IF($L$1="DDE",VLOOKUP(A11,'Data - DDE'!$A$2:$G$29,4,FALSE),"")</f>
        <v>1.5254399999999999</v>
      </c>
      <c r="E11" s="14">
        <f t="shared" si="0"/>
        <v>2.8999999999990145</v>
      </c>
      <c r="F11" s="19">
        <f t="shared" si="1"/>
        <v>2.8999999999990145E-4</v>
      </c>
      <c r="G11" s="24"/>
      <c r="H11" s="24"/>
      <c r="I11" s="15">
        <f t="shared" si="2"/>
        <v>1.5252949999999998</v>
      </c>
      <c r="J11" s="1">
        <f>IF($L$1="DDE",VLOOKUP(A11,'Data - DDE'!$A$2:$I$29,8,FALSE),"")</f>
        <v>1.5124899999999999</v>
      </c>
      <c r="K11" s="4">
        <f>IF($L$1="DDE",VLOOKUP(A11,'Data - DDE'!$A$2:$I$29,9,FALSE),"")</f>
        <v>1.5271999999999999</v>
      </c>
      <c r="L11" s="12"/>
      <c r="M11" s="13"/>
    </row>
    <row r="12" spans="1:13" x14ac:dyDescent="0.3">
      <c r="A12" s="10" t="s">
        <v>30</v>
      </c>
      <c r="B12" s="13">
        <f>IF($L$1="DDE",VLOOKUP(A12,'Data - DDE'!$A$2:$G$29,2,FALSE),VLOOKUP(A12,#REF!,2,FALSE))</f>
        <v>43979.96597222222</v>
      </c>
      <c r="C12" s="18">
        <f>IF($L$1="DDE",VLOOKUP(A12,'Data - DDE'!$A$2:$G$29,3,FALSE),"")</f>
        <v>1.06769</v>
      </c>
      <c r="D12" s="18">
        <f>IF($L$1="DDE",VLOOKUP(A12,'Data - DDE'!$A$2:$G$29,4,FALSE),"")</f>
        <v>1.0678799999999999</v>
      </c>
      <c r="E12" s="14">
        <f t="shared" si="0"/>
        <v>1.8999999999991246</v>
      </c>
      <c r="F12" s="19">
        <f t="shared" si="1"/>
        <v>1.8999999999991246E-4</v>
      </c>
      <c r="G12" s="24"/>
      <c r="H12" s="24"/>
      <c r="I12" s="15">
        <f t="shared" si="2"/>
        <v>1.067785</v>
      </c>
      <c r="J12" s="1">
        <f>IF($L$1="DDE",VLOOKUP(A12,'Data - DDE'!$A$2:$I$29,8,FALSE),"")</f>
        <v>1.06481</v>
      </c>
      <c r="K12" s="4">
        <f>IF($L$1="DDE",VLOOKUP(A12,'Data - DDE'!$A$2:$I$29,9,FALSE),"")</f>
        <v>1.0697000000000001</v>
      </c>
      <c r="L12" s="12"/>
      <c r="M12" s="13"/>
    </row>
    <row r="13" spans="1:13" x14ac:dyDescent="0.3">
      <c r="A13" s="10" t="s">
        <v>33</v>
      </c>
      <c r="B13" s="13">
        <f>IF($L$1="DDE",VLOOKUP(A13,'Data - DDE'!$A$2:$G$29,2,FALSE),VLOOKUP(A13,#REF!,2,FALSE))</f>
        <v>43979.967361111114</v>
      </c>
      <c r="C13" s="18">
        <f>IF($L$1="DDE",VLOOKUP(A13,'Data - DDE'!$A$2:$G$29,3,FALSE),"")</f>
        <v>0.89866000000000001</v>
      </c>
      <c r="D13" s="18">
        <f>IF($L$1="DDE",VLOOKUP(A13,'Data - DDE'!$A$2:$G$29,4,FALSE),"")</f>
        <v>0.89885000000000004</v>
      </c>
      <c r="E13" s="14">
        <f t="shared" si="0"/>
        <v>1.9000000000002348</v>
      </c>
      <c r="F13" s="19">
        <f t="shared" si="1"/>
        <v>1.9000000000002348E-4</v>
      </c>
      <c r="G13" s="24"/>
      <c r="H13" s="24"/>
      <c r="I13" s="15">
        <f t="shared" si="2"/>
        <v>0.89875499999999997</v>
      </c>
      <c r="J13" s="1">
        <f>IF($L$1="DDE",VLOOKUP(A13,'Data - DDE'!$A$2:$I$29,8,FALSE),"")</f>
        <v>0.89627000000000001</v>
      </c>
      <c r="K13" s="4">
        <f>IF($L$1="DDE",VLOOKUP(A13,'Data - DDE'!$A$2:$I$29,9,FALSE),"")</f>
        <v>0.89934000000000003</v>
      </c>
      <c r="L13" s="12"/>
      <c r="M13" s="13"/>
    </row>
    <row r="14" spans="1:13" x14ac:dyDescent="0.3">
      <c r="A14" s="10" t="s">
        <v>20</v>
      </c>
      <c r="B14" s="13">
        <f>IF($L$1="DDE",VLOOKUP(A14,'Data - DDE'!$A$2:$G$29,2,FALSE),VLOOKUP(A14,#REF!,2,FALSE))</f>
        <v>43979.967361111114</v>
      </c>
      <c r="C14" s="18">
        <f>IF($L$1="DDE",VLOOKUP(A14,'Data - DDE'!$A$2:$G$29,3,FALSE),"")</f>
        <v>119.152</v>
      </c>
      <c r="D14" s="18">
        <f>IF($L$1="DDE",VLOOKUP(A14,'Data - DDE'!$A$2:$G$29,4,FALSE),"")</f>
        <v>119.169</v>
      </c>
      <c r="E14" s="14">
        <f t="shared" si="0"/>
        <v>1.6999999999995907</v>
      </c>
      <c r="F14" s="19">
        <f t="shared" si="1"/>
        <v>1.6999999999995907E-2</v>
      </c>
      <c r="G14" s="24"/>
      <c r="H14" s="24"/>
      <c r="I14" s="15">
        <f t="shared" si="2"/>
        <v>119.1605</v>
      </c>
      <c r="J14" s="1">
        <f>IF($L$1="DDE",VLOOKUP(A14,'Data - DDE'!$A$2:$I$29,8,FALSE),"")</f>
        <v>118.476</v>
      </c>
      <c r="K14" s="4">
        <f>IF($L$1="DDE",VLOOKUP(A14,'Data - DDE'!$A$2:$I$29,9,FALSE),"")</f>
        <v>119.38500000000001</v>
      </c>
      <c r="L14" s="12"/>
      <c r="M14" s="13"/>
    </row>
    <row r="15" spans="1:13" x14ac:dyDescent="0.3">
      <c r="A15" s="10" t="s">
        <v>8</v>
      </c>
      <c r="B15" s="13">
        <f>IF($L$1="DDE",VLOOKUP(A15,'Data - DDE'!$A$2:$G$29,2,FALSE),VLOOKUP(A15,#REF!,2,FALSE))</f>
        <v>43979.967361111114</v>
      </c>
      <c r="C15" s="18">
        <f>IF($L$1="DDE",VLOOKUP(A15,'Data - DDE'!$A$2:$G$29,3,FALSE),"")</f>
        <v>1.7819199999999999</v>
      </c>
      <c r="D15" s="18">
        <f>IF($L$1="DDE",VLOOKUP(A15,'Data - DDE'!$A$2:$G$29,4,FALSE),"")</f>
        <v>1.78251</v>
      </c>
      <c r="E15" s="14">
        <f t="shared" si="0"/>
        <v>5.9000000000009045</v>
      </c>
      <c r="F15" s="19">
        <f t="shared" si="1"/>
        <v>5.9000000000009045E-4</v>
      </c>
      <c r="G15" s="24"/>
      <c r="H15" s="24"/>
      <c r="I15" s="15">
        <f t="shared" si="2"/>
        <v>1.7822149999999999</v>
      </c>
      <c r="J15" s="1">
        <f>IF($L$1="DDE",VLOOKUP(A15,'Data - DDE'!$A$2:$I$29,8,FALSE),"")</f>
        <v>1.7753300000000001</v>
      </c>
      <c r="K15" s="4">
        <f>IF($L$1="DDE",VLOOKUP(A15,'Data - DDE'!$A$2:$I$29,9,FALSE),"")</f>
        <v>1.78487</v>
      </c>
      <c r="L15" s="12"/>
      <c r="M15" s="13"/>
    </row>
    <row r="16" spans="1:13" x14ac:dyDescent="0.3">
      <c r="A16" s="10" t="s">
        <v>6</v>
      </c>
      <c r="B16" s="13">
        <f>IF($L$1="DDE",VLOOKUP(A16,'Data - DDE'!$A$2:$G$29,2,FALSE),VLOOKUP(A16,#REF!,2,FALSE))</f>
        <v>43979.967361111114</v>
      </c>
      <c r="C16" s="18">
        <f>IF($L$1="DDE",VLOOKUP(A16,'Data - DDE'!$A$2:$G$29,3,FALSE),"")</f>
        <v>1.1072599999999999</v>
      </c>
      <c r="D16" s="18">
        <f>IF($L$1="DDE",VLOOKUP(A16,'Data - DDE'!$A$2:$G$29,4,FALSE),"")</f>
        <v>1.10738</v>
      </c>
      <c r="E16" s="14">
        <f t="shared" si="0"/>
        <v>1.2000000000012001</v>
      </c>
      <c r="F16" s="19">
        <f t="shared" si="1"/>
        <v>1.2000000000012001E-4</v>
      </c>
      <c r="G16" s="24"/>
      <c r="H16" s="24"/>
      <c r="I16" s="15">
        <f t="shared" si="2"/>
        <v>1.1073200000000001</v>
      </c>
      <c r="J16" s="1">
        <f>IF($L$1="DDE",VLOOKUP(A16,'Data - DDE'!$A$2:$I$29,8,FALSE),"")</f>
        <v>1.0991</v>
      </c>
      <c r="K16" s="4">
        <f>IF($L$1="DDE",VLOOKUP(A16,'Data - DDE'!$A$2:$I$29,9,FALSE),"")</f>
        <v>1.10931</v>
      </c>
      <c r="L16" s="12"/>
      <c r="M16" s="13"/>
    </row>
    <row r="17" spans="1:13" x14ac:dyDescent="0.3">
      <c r="A17" s="10" t="s">
        <v>10</v>
      </c>
      <c r="B17" s="13">
        <f>IF($L$1="DDE",VLOOKUP(A17,'Data - DDE'!$A$2:$G$29,2,FALSE),VLOOKUP(A17,#REF!,2,FALSE))</f>
        <v>43979.967361111114</v>
      </c>
      <c r="C17" s="18">
        <f>IF($L$1="DDE",VLOOKUP(A17,'Data - DDE'!$A$2:$G$29,3,FALSE),"")</f>
        <v>1.8548800000000001</v>
      </c>
      <c r="D17" s="18">
        <f>IF($L$1="DDE",VLOOKUP(A17,'Data - DDE'!$A$2:$G$29,4,FALSE),"")</f>
        <v>1.85528</v>
      </c>
      <c r="E17" s="14">
        <f t="shared" si="0"/>
        <v>3.9999999999995595</v>
      </c>
      <c r="F17" s="19">
        <f t="shared" si="1"/>
        <v>3.9999999999995595E-4</v>
      </c>
      <c r="G17" s="24"/>
      <c r="H17" s="24"/>
      <c r="I17" s="15">
        <f t="shared" si="2"/>
        <v>1.8550800000000001</v>
      </c>
      <c r="J17" s="1">
        <f>IF($L$1="DDE",VLOOKUP(A17,'Data - DDE'!$A$2:$I$29,8,FALSE),"")</f>
        <v>1.8476300000000001</v>
      </c>
      <c r="K17" s="4">
        <f>IF($L$1="DDE",VLOOKUP(A17,'Data - DDE'!$A$2:$I$29,9,FALSE),"")</f>
        <v>1.8589199999999999</v>
      </c>
      <c r="L17" s="12"/>
      <c r="M17" s="13"/>
    </row>
    <row r="18" spans="1:13" x14ac:dyDescent="0.3">
      <c r="A18" s="10" t="s">
        <v>14</v>
      </c>
      <c r="B18" s="13">
        <f>IF($L$1="DDE",VLOOKUP(A18,'Data - DDE'!$A$2:$G$29,2,FALSE),VLOOKUP(A18,#REF!,2,FALSE))</f>
        <v>43979.967361111114</v>
      </c>
      <c r="C18" s="18">
        <f>IF($L$1="DDE",VLOOKUP(A18,'Data - DDE'!$A$2:$G$29,3,FALSE),"")</f>
        <v>1.6968799999999999</v>
      </c>
      <c r="D18" s="18">
        <f>IF($L$1="DDE",VLOOKUP(A18,'Data - DDE'!$A$2:$G$29,4,FALSE),"")</f>
        <v>1.6973199999999999</v>
      </c>
      <c r="E18" s="14">
        <f>IF(ISNUMBER(SEARCH("JPY",A18)),((D18-C18)*100),((D18-C18)*10000))</f>
        <v>4.3999999999999595</v>
      </c>
      <c r="F18" s="19">
        <f>IF(ISNUMBER(SEARCH("JPY",A18)),((D18-C18)),((D18-C18)))</f>
        <v>4.3999999999999595E-4</v>
      </c>
      <c r="G18" s="24"/>
      <c r="H18" s="24"/>
      <c r="I18" s="15">
        <f>AVERAGE(C18:D18)</f>
        <v>1.6970999999999998</v>
      </c>
      <c r="J18" s="1">
        <f>IF($L$1="DDE",VLOOKUP(A18,'Data - DDE'!$A$2:$I$29,8,FALSE),"")</f>
        <v>1.68462</v>
      </c>
      <c r="K18" s="4">
        <f>IF($L$1="DDE",VLOOKUP(A18,'Data - DDE'!$A$2:$I$29,9,FALSE),"")</f>
        <v>1.69909</v>
      </c>
      <c r="L18" s="12"/>
      <c r="M18" s="13"/>
    </row>
    <row r="19" spans="1:13" x14ac:dyDescent="0.3">
      <c r="A19" s="10" t="s">
        <v>29</v>
      </c>
      <c r="B19" s="13">
        <f>IF($L$1="DDE",VLOOKUP(A19,'Data - DDE'!$A$2:$G$29,2,FALSE),VLOOKUP(A19,#REF!,2,FALSE))</f>
        <v>43979.967361111114</v>
      </c>
      <c r="C19" s="18">
        <f>IF($L$1="DDE",VLOOKUP(A19,'Data - DDE'!$A$2:$G$29,3,FALSE),"")</f>
        <v>1.1878299999999999</v>
      </c>
      <c r="D19" s="18">
        <f>IF($L$1="DDE",VLOOKUP(A19,'Data - DDE'!$A$2:$G$29,4,FALSE),"")</f>
        <v>1.18818</v>
      </c>
      <c r="E19" s="14">
        <f t="shared" ref="E19:E29" si="3">IF(ISNUMBER(SEARCH("JPY",A19)),((D19-C19)*100),((D19-C19)*10000))</f>
        <v>3.5000000000007248</v>
      </c>
      <c r="F19" s="19">
        <f t="shared" ref="F19:F29" si="4">IF(ISNUMBER(SEARCH("JPY",A19)),((D19-C19)),((D19-C19)))</f>
        <v>3.5000000000007248E-4</v>
      </c>
      <c r="G19" s="24"/>
      <c r="H19" s="24"/>
      <c r="I19" s="15">
        <f t="shared" ref="I19:I29" si="5">AVERAGE(C19:D19)</f>
        <v>1.188005</v>
      </c>
      <c r="J19" s="1">
        <f>IF($L$1="DDE",VLOOKUP(A19,'Data - DDE'!$A$2:$I$29,8,FALSE),"")</f>
        <v>1.1861299999999999</v>
      </c>
      <c r="K19" s="4">
        <f>IF($L$1="DDE",VLOOKUP(A19,'Data - DDE'!$A$2:$I$29,9,FALSE),"")</f>
        <v>1.1921299999999999</v>
      </c>
      <c r="L19" s="12"/>
      <c r="M19" s="13"/>
    </row>
    <row r="20" spans="1:13" x14ac:dyDescent="0.3">
      <c r="A20" s="10" t="s">
        <v>19</v>
      </c>
      <c r="B20" s="13">
        <f>IF($L$1="DDE",VLOOKUP(A20,'Data - DDE'!$A$2:$G$29,2,FALSE),VLOOKUP(A20,#REF!,2,FALSE))</f>
        <v>43979.967361111114</v>
      </c>
      <c r="C20" s="18">
        <f>IF($L$1="DDE",VLOOKUP(A20,'Data - DDE'!$A$2:$G$29,3,FALSE),"")</f>
        <v>132.56299999999999</v>
      </c>
      <c r="D20" s="18">
        <f>IF($L$1="DDE",VLOOKUP(A20,'Data - DDE'!$A$2:$G$29,4,FALSE),"")</f>
        <v>132.59399999999999</v>
      </c>
      <c r="E20" s="14">
        <f t="shared" si="3"/>
        <v>3.1000000000005912</v>
      </c>
      <c r="F20" s="19">
        <f t="shared" si="4"/>
        <v>3.1000000000005912E-2</v>
      </c>
      <c r="G20" s="24"/>
      <c r="H20" s="24"/>
      <c r="I20" s="15">
        <f t="shared" si="5"/>
        <v>132.57849999999999</v>
      </c>
      <c r="J20" s="1">
        <f>IF($L$1="DDE",VLOOKUP(A20,'Data - DDE'!$A$2:$I$29,8,FALSE),"")</f>
        <v>131.815</v>
      </c>
      <c r="K20" s="4">
        <f>IF($L$1="DDE",VLOOKUP(A20,'Data - DDE'!$A$2:$I$29,9,FALSE),"")</f>
        <v>132.87</v>
      </c>
      <c r="L20" s="12"/>
      <c r="M20" s="13"/>
    </row>
    <row r="21" spans="1:13" x14ac:dyDescent="0.3">
      <c r="A21" s="10" t="s">
        <v>7</v>
      </c>
      <c r="B21" s="13">
        <f>IF($L$1="DDE",VLOOKUP(A21,'Data - DDE'!$A$2:$G$29,2,FALSE),VLOOKUP(A21,#REF!,2,FALSE))</f>
        <v>43979.967361111114</v>
      </c>
      <c r="C21" s="18">
        <f>IF($L$1="DDE",VLOOKUP(A21,'Data - DDE'!$A$2:$G$29,3,FALSE),"")</f>
        <v>1.9825200000000001</v>
      </c>
      <c r="D21" s="18">
        <f>IF($L$1="DDE",VLOOKUP(A21,'Data - DDE'!$A$2:$G$29,4,FALSE),"")</f>
        <v>1.9831799999999999</v>
      </c>
      <c r="E21" s="14">
        <f t="shared" si="3"/>
        <v>6.599999999998829</v>
      </c>
      <c r="F21" s="19">
        <f t="shared" si="4"/>
        <v>6.599999999998829E-4</v>
      </c>
      <c r="G21" s="24"/>
      <c r="H21" s="24"/>
      <c r="I21" s="15">
        <f t="shared" si="5"/>
        <v>1.98285</v>
      </c>
      <c r="J21" s="1">
        <f>IF($L$1="DDE",VLOOKUP(A21,'Data - DDE'!$A$2:$I$29,8,FALSE),"")</f>
        <v>1.97746</v>
      </c>
      <c r="K21" s="4">
        <f>IF($L$1="DDE",VLOOKUP(A21,'Data - DDE'!$A$2:$I$29,9,FALSE),"")</f>
        <v>1.98573</v>
      </c>
      <c r="L21" s="12"/>
      <c r="M21" s="13"/>
    </row>
    <row r="22" spans="1:13" x14ac:dyDescent="0.3">
      <c r="A22" s="10" t="s">
        <v>25</v>
      </c>
      <c r="B22" s="13">
        <f>IF($L$1="DDE",VLOOKUP(A22,'Data - DDE'!$A$2:$G$29,2,FALSE),VLOOKUP(A22,#REF!,2,FALSE))</f>
        <v>43979.967361111114</v>
      </c>
      <c r="C22" s="18">
        <f>IF($L$1="DDE",VLOOKUP(A22,'Data - DDE'!$A$2:$G$29,3,FALSE),"")</f>
        <v>1.23193</v>
      </c>
      <c r="D22" s="18">
        <f>IF($L$1="DDE",VLOOKUP(A22,'Data - DDE'!$A$2:$G$29,4,FALSE),"")</f>
        <v>1.2321200000000001</v>
      </c>
      <c r="E22" s="14">
        <f t="shared" si="3"/>
        <v>1.9000000000013451</v>
      </c>
      <c r="F22" s="19">
        <f t="shared" si="4"/>
        <v>1.9000000000013451E-4</v>
      </c>
      <c r="G22" s="24"/>
      <c r="H22" s="24"/>
      <c r="I22" s="15">
        <f t="shared" si="5"/>
        <v>1.2320250000000001</v>
      </c>
      <c r="J22" s="1">
        <f>IF($L$1="DDE",VLOOKUP(A22,'Data - DDE'!$A$2:$I$29,8,FALSE),"")</f>
        <v>1.2232799999999999</v>
      </c>
      <c r="K22" s="4">
        <f>IF($L$1="DDE",VLOOKUP(A22,'Data - DDE'!$A$2:$I$29,9,FALSE),"")</f>
        <v>1.2343500000000001</v>
      </c>
      <c r="L22" s="12"/>
      <c r="M22" s="13"/>
    </row>
    <row r="23" spans="1:13" x14ac:dyDescent="0.3">
      <c r="A23" s="10" t="s">
        <v>13</v>
      </c>
      <c r="B23" s="13">
        <f>IF($L$1="DDE",VLOOKUP(A23,'Data - DDE'!$A$2:$G$29,2,FALSE),VLOOKUP(A23,#REF!,2,FALSE))</f>
        <v>43979.967361111114</v>
      </c>
      <c r="C23" s="18">
        <f>IF($L$1="DDE",VLOOKUP(A23,'Data - DDE'!$A$2:$G$29,3,FALSE),"")</f>
        <v>0.85572999999999999</v>
      </c>
      <c r="D23" s="18">
        <f>IF($L$1="DDE",VLOOKUP(A23,'Data - DDE'!$A$2:$G$29,4,FALSE),"")</f>
        <v>0.85604000000000002</v>
      </c>
      <c r="E23" s="14">
        <f t="shared" si="3"/>
        <v>3.1000000000003247</v>
      </c>
      <c r="F23" s="19">
        <f t="shared" si="4"/>
        <v>3.1000000000003247E-4</v>
      </c>
      <c r="G23" s="24"/>
      <c r="H23" s="24"/>
      <c r="I23" s="15">
        <f t="shared" si="5"/>
        <v>0.85588500000000001</v>
      </c>
      <c r="J23" s="1">
        <f>IF($L$1="DDE",VLOOKUP(A23,'Data - DDE'!$A$2:$I$29,8,FALSE),"")</f>
        <v>0.84882000000000002</v>
      </c>
      <c r="K23" s="4">
        <f>IF($L$1="DDE",VLOOKUP(A23,'Data - DDE'!$A$2:$I$29,9,FALSE),"")</f>
        <v>0.85696000000000006</v>
      </c>
      <c r="L23" s="12"/>
      <c r="M23" s="13"/>
    </row>
    <row r="24" spans="1:13" x14ac:dyDescent="0.3">
      <c r="A24" s="10" t="s">
        <v>28</v>
      </c>
      <c r="B24" s="13">
        <f>IF($L$1="DDE",VLOOKUP(A24,'Data - DDE'!$A$2:$G$29,2,FALSE),VLOOKUP(A24,#REF!,2,FALSE))</f>
        <v>43979.967361111114</v>
      </c>
      <c r="C24" s="18">
        <f>IF($L$1="DDE",VLOOKUP(A24,'Data - DDE'!$A$2:$G$29,3,FALSE),"")</f>
        <v>0.59902</v>
      </c>
      <c r="D24" s="18">
        <f>IF($L$1="DDE",VLOOKUP(A24,'Data - DDE'!$A$2:$G$29,4,FALSE),"")</f>
        <v>0.59930000000000005</v>
      </c>
      <c r="E24" s="14">
        <f t="shared" si="3"/>
        <v>2.8000000000005798</v>
      </c>
      <c r="F24" s="19">
        <f t="shared" si="4"/>
        <v>2.8000000000005798E-4</v>
      </c>
      <c r="G24" s="24"/>
      <c r="H24" s="24"/>
      <c r="I24" s="15">
        <f t="shared" si="5"/>
        <v>0.59916000000000003</v>
      </c>
      <c r="J24" s="1">
        <f>IF($L$1="DDE",VLOOKUP(A24,'Data - DDE'!$A$2:$I$29,8,FALSE),"")</f>
        <v>0.59726000000000001</v>
      </c>
      <c r="K24" s="4">
        <f>IF($L$1="DDE",VLOOKUP(A24,'Data - DDE'!$A$2:$I$29,9,FALSE),"")</f>
        <v>0.60204999999999997</v>
      </c>
      <c r="L24" s="12"/>
      <c r="M24" s="13"/>
    </row>
    <row r="25" spans="1:13" x14ac:dyDescent="0.3">
      <c r="A25" s="10" t="s">
        <v>18</v>
      </c>
      <c r="B25" s="13">
        <f>IF($L$1="DDE",VLOOKUP(A25,'Data - DDE'!$A$2:$G$29,2,FALSE),VLOOKUP(A25,#REF!,2,FALSE))</f>
        <v>43979.967361111114</v>
      </c>
      <c r="C25" s="18">
        <f>IF($L$1="DDE",VLOOKUP(A25,'Data - DDE'!$A$2:$G$29,3,FALSE),"")</f>
        <v>66.846999999999994</v>
      </c>
      <c r="D25" s="18">
        <f>IF($L$1="DDE",VLOOKUP(A25,'Data - DDE'!$A$2:$G$29,4,FALSE),"")</f>
        <v>66.873999999999995</v>
      </c>
      <c r="E25" s="14">
        <f t="shared" si="3"/>
        <v>2.7000000000001023</v>
      </c>
      <c r="F25" s="19">
        <f t="shared" si="4"/>
        <v>2.7000000000001023E-2</v>
      </c>
      <c r="G25" s="24"/>
      <c r="H25" s="24"/>
      <c r="I25" s="15">
        <f t="shared" si="5"/>
        <v>66.860500000000002</v>
      </c>
      <c r="J25" s="1">
        <f>IF($L$1="DDE",VLOOKUP(A25,'Data - DDE'!$A$2:$I$29,8,FALSE),"")</f>
        <v>66.475999999999999</v>
      </c>
      <c r="K25" s="4">
        <f>IF($L$1="DDE",VLOOKUP(A25,'Data - DDE'!$A$2:$I$29,9,FALSE),"")</f>
        <v>67.037999999999997</v>
      </c>
      <c r="L25" s="12"/>
      <c r="M25" s="13"/>
    </row>
    <row r="26" spans="1:13" x14ac:dyDescent="0.3">
      <c r="A26" s="10" t="s">
        <v>24</v>
      </c>
      <c r="B26" s="13">
        <f>IF($L$1="DDE",VLOOKUP(A26,'Data - DDE'!$A$2:$G$29,2,FALSE),VLOOKUP(A26,#REF!,2,FALSE))</f>
        <v>43979.967361111114</v>
      </c>
      <c r="C26" s="18">
        <f>IF($L$1="DDE",VLOOKUP(A26,'Data - DDE'!$A$2:$G$29,3,FALSE),"")</f>
        <v>0.62126000000000003</v>
      </c>
      <c r="D26" s="18">
        <f>IF($L$1="DDE",VLOOKUP(A26,'Data - DDE'!$A$2:$G$29,4,FALSE),"")</f>
        <v>0.62144999999999995</v>
      </c>
      <c r="E26" s="14">
        <f t="shared" si="3"/>
        <v>1.8999999999991246</v>
      </c>
      <c r="F26" s="19">
        <f t="shared" si="4"/>
        <v>1.8999999999991246E-4</v>
      </c>
      <c r="G26" s="24"/>
      <c r="H26" s="24"/>
      <c r="I26" s="15">
        <f t="shared" si="5"/>
        <v>0.62135499999999999</v>
      </c>
      <c r="J26" s="1">
        <f>IF($L$1="DDE",VLOOKUP(A26,'Data - DDE'!$A$2:$I$29,8,FALSE),"")</f>
        <v>0.6169</v>
      </c>
      <c r="K26" s="4">
        <f>IF($L$1="DDE",VLOOKUP(A26,'Data - DDE'!$A$2:$I$29,9,FALSE),"")</f>
        <v>0.62275999999999998</v>
      </c>
      <c r="L26" s="12"/>
      <c r="M26" s="13"/>
    </row>
    <row r="27" spans="1:13" x14ac:dyDescent="0.3">
      <c r="A27" s="20" t="s">
        <v>12</v>
      </c>
      <c r="B27" s="13">
        <f>IF($L$1="DDE",VLOOKUP(A27,'Data - DDE'!$A$2:$G$29,2,FALSE),VLOOKUP(A27,#REF!,2,FALSE))</f>
        <v>43979.967361111114</v>
      </c>
      <c r="C27" s="18">
        <f>IF($L$1="DDE",VLOOKUP(A27,'Data - DDE'!$A$2:$G$29,3,FALSE),"")</f>
        <v>1.3773599999999999</v>
      </c>
      <c r="D27" s="18">
        <f>IF($L$1="DDE",VLOOKUP(A27,'Data - DDE'!$A$2:$G$29,4,FALSE),"")</f>
        <v>1.3775599999999999</v>
      </c>
      <c r="E27" s="14">
        <f t="shared" si="3"/>
        <v>1.9999999999997797</v>
      </c>
      <c r="F27" s="19">
        <f t="shared" si="4"/>
        <v>1.9999999999997797E-4</v>
      </c>
      <c r="G27" s="24"/>
      <c r="H27" s="24"/>
      <c r="I27" s="15">
        <f t="shared" si="5"/>
        <v>1.3774599999999999</v>
      </c>
      <c r="J27" s="1">
        <f>IF($L$1="DDE",VLOOKUP(A27,'Data - DDE'!$A$2:$I$29,8,FALSE),"")</f>
        <v>1.37334</v>
      </c>
      <c r="K27" s="4">
        <f>IF($L$1="DDE",VLOOKUP(A27,'Data - DDE'!$A$2:$I$29,9,FALSE),"")</f>
        <v>1.3789100000000001</v>
      </c>
      <c r="L27" s="12"/>
      <c r="M27" s="13"/>
    </row>
    <row r="28" spans="1:13" x14ac:dyDescent="0.3">
      <c r="A28" s="20" t="s">
        <v>27</v>
      </c>
      <c r="B28" s="13">
        <f>IF($L$1="DDE",VLOOKUP(A28,'Data - DDE'!$A$2:$G$29,2,FALSE),VLOOKUP(A28,#REF!,2,FALSE))</f>
        <v>43979.966666666667</v>
      </c>
      <c r="C28" s="18">
        <f>IF($L$1="DDE",VLOOKUP(A28,'Data - DDE'!$A$2:$G$29,3,FALSE),"")</f>
        <v>0.96421000000000001</v>
      </c>
      <c r="D28" s="18">
        <f>IF($L$1="DDE",VLOOKUP(A28,'Data - DDE'!$A$2:$G$29,4,FALSE),"")</f>
        <v>0.96435999999999999</v>
      </c>
      <c r="E28" s="14">
        <f t="shared" si="3"/>
        <v>1.4999999999998348</v>
      </c>
      <c r="F28" s="19">
        <f t="shared" si="4"/>
        <v>1.4999999999998348E-4</v>
      </c>
      <c r="G28" s="24"/>
      <c r="H28" s="24"/>
      <c r="I28" s="15">
        <f t="shared" si="5"/>
        <v>0.96428500000000006</v>
      </c>
      <c r="J28" s="1">
        <f>IF($L$1="DDE",VLOOKUP(A28,'Data - DDE'!$A$2:$I$29,8,FALSE),"")</f>
        <v>0.96296000000000004</v>
      </c>
      <c r="K28" s="4">
        <f>IF($L$1="DDE",VLOOKUP(A28,'Data - DDE'!$A$2:$I$29,9,FALSE),"")</f>
        <v>0.97182000000000002</v>
      </c>
      <c r="L28" s="12"/>
      <c r="M28" s="13"/>
    </row>
    <row r="29" spans="1:13" x14ac:dyDescent="0.3">
      <c r="A29" s="20" t="s">
        <v>17</v>
      </c>
      <c r="B29" s="13">
        <f>IF($L$1="DDE",VLOOKUP(A29,'Data - DDE'!$A$2:$G$29,2,FALSE),VLOOKUP(A29,#REF!,2,FALSE))</f>
        <v>43979.967361111114</v>
      </c>
      <c r="C29" s="18">
        <f>IF($L$1="DDE",VLOOKUP(A29,'Data - DDE'!$A$2:$G$29,3,FALSE),"")</f>
        <v>107.602</v>
      </c>
      <c r="D29" s="18">
        <f>IF($L$1="DDE",VLOOKUP(A29,'Data - DDE'!$A$2:$G$29,4,FALSE),"")</f>
        <v>107.614</v>
      </c>
      <c r="E29" s="14">
        <f t="shared" si="3"/>
        <v>1.2000000000000455</v>
      </c>
      <c r="F29" s="19">
        <f t="shared" si="4"/>
        <v>1.2000000000000455E-2</v>
      </c>
      <c r="G29" s="24"/>
      <c r="H29" s="24"/>
      <c r="I29" s="15">
        <f t="shared" si="5"/>
        <v>107.608</v>
      </c>
      <c r="J29" s="1">
        <f>IF($L$1="DDE",VLOOKUP(A29,'Data - DDE'!$A$2:$I$29,8,FALSE),"")</f>
        <v>107.56399999999999</v>
      </c>
      <c r="K29" s="4">
        <f>IF($L$1="DDE",VLOOKUP(A29,'Data - DDE'!$A$2:$I$29,9,FALSE),"")</f>
        <v>107.895</v>
      </c>
      <c r="L29" s="12"/>
      <c r="M29" s="13"/>
    </row>
    <row r="30" spans="1:13" x14ac:dyDescent="0.3">
      <c r="A30" s="1"/>
      <c r="B30" s="1"/>
      <c r="C30" s="1"/>
      <c r="D30" s="1"/>
      <c r="E30" s="1"/>
      <c r="F30" s="1"/>
      <c r="G30" s="24"/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CBE37-0E08-44AA-B4E2-27874A9BA524}">
  <sheetPr codeName="Sheet26"/>
  <dimension ref="A1:R84"/>
  <sheetViews>
    <sheetView workbookViewId="0">
      <selection activeCell="K2" sqref="K2"/>
    </sheetView>
  </sheetViews>
  <sheetFormatPr defaultColWidth="18.88671875" defaultRowHeight="14.4" x14ac:dyDescent="0.3"/>
  <cols>
    <col min="1" max="1" width="9.109375" style="178" bestFit="1" customWidth="1"/>
    <col min="2" max="2" width="7.33203125" style="179" customWidth="1"/>
    <col min="3" max="3" width="7.33203125" style="180" customWidth="1"/>
    <col min="4" max="4" width="10.33203125" style="192" bestFit="1" customWidth="1"/>
    <col min="5" max="5" width="10.33203125" style="193" customWidth="1"/>
    <col min="6" max="6" width="10.33203125" style="192" customWidth="1"/>
    <col min="7" max="7" width="13.33203125" style="178" customWidth="1"/>
    <col min="8" max="9" width="8.44140625" style="178" customWidth="1"/>
    <col min="10" max="11" width="14" style="185" customWidth="1"/>
    <col min="12" max="12" width="14" style="190" customWidth="1"/>
    <col min="13" max="13" width="12.5546875" style="191" bestFit="1" customWidth="1"/>
    <col min="14" max="14" width="12" style="191" bestFit="1" customWidth="1"/>
    <col min="15" max="15" width="10.109375" style="178" bestFit="1" customWidth="1"/>
    <col min="16" max="16" width="8" style="178" bestFit="1" customWidth="1"/>
    <col min="17" max="17" width="4" style="178" bestFit="1" customWidth="1"/>
    <col min="18" max="18" width="11.44140625" style="191" customWidth="1"/>
    <col min="19" max="19" width="7.44140625" style="178" customWidth="1"/>
    <col min="20" max="16384" width="18.88671875" style="178"/>
  </cols>
  <sheetData>
    <row r="1" spans="1:18" s="167" customFormat="1" ht="16.2" customHeight="1" thickBot="1" x14ac:dyDescent="0.35">
      <c r="A1" s="157" t="s">
        <v>55</v>
      </c>
      <c r="B1" s="158" t="s">
        <v>56</v>
      </c>
      <c r="C1" s="159" t="s">
        <v>57</v>
      </c>
      <c r="D1" s="160" t="s">
        <v>58</v>
      </c>
      <c r="E1" s="161" t="s">
        <v>59</v>
      </c>
      <c r="F1" s="160" t="s">
        <v>59</v>
      </c>
      <c r="G1" s="162" t="s">
        <v>60</v>
      </c>
      <c r="H1" s="162" t="s">
        <v>61</v>
      </c>
      <c r="I1" s="162" t="s">
        <v>62</v>
      </c>
      <c r="J1" s="163" t="s">
        <v>64</v>
      </c>
      <c r="K1" s="194" t="s">
        <v>63</v>
      </c>
      <c r="L1" s="164" t="s">
        <v>65</v>
      </c>
      <c r="M1" s="165" t="s">
        <v>66</v>
      </c>
      <c r="N1" s="166" t="s">
        <v>67</v>
      </c>
      <c r="O1" s="269" t="s">
        <v>68</v>
      </c>
      <c r="P1" s="270"/>
      <c r="Q1" s="270"/>
      <c r="R1" s="271"/>
    </row>
    <row r="2" spans="1:18" x14ac:dyDescent="0.3">
      <c r="A2" s="168" t="s">
        <v>16</v>
      </c>
      <c r="B2" s="169" t="str">
        <f>LEFT(A2,3)</f>
        <v>AUD</v>
      </c>
      <c r="C2" s="170" t="str">
        <f>RIGHT(A2,3)</f>
        <v>CAD</v>
      </c>
      <c r="D2" s="171">
        <v>100000</v>
      </c>
      <c r="E2" s="172">
        <f>IF(F2=FALSE,0.0001,0.01)</f>
        <v>1E-4</v>
      </c>
      <c r="F2" s="171" t="b">
        <f>ISNUMBER(SEARCH("JPY",A2))</f>
        <v>0</v>
      </c>
      <c r="G2" s="173" t="b">
        <f t="shared" ref="G2:G29" si="0">ISNUMBER(SEARCH("USD",A2))</f>
        <v>0</v>
      </c>
      <c r="H2" s="173" t="str">
        <f>IF(B2="USD","TRUE","FALSE")</f>
        <v>FALSE</v>
      </c>
      <c r="I2" s="173" t="str">
        <f>IF(C2="USD","TRUE","FALSE")</f>
        <v>FALSE</v>
      </c>
      <c r="J2" s="174">
        <f>VLOOKUP(A2,'Data - Data Feed Market'!$A$2:$E$29,3,FALSE)</f>
        <v>0.91474</v>
      </c>
      <c r="K2" s="184">
        <f>VLOOKUP(A2,'Data - Data Feed Market'!$A$2:$E$29,4,FALSE)</f>
        <v>0.91493000000000002</v>
      </c>
      <c r="L2" s="195">
        <f t="shared" ref="L2:L29" si="1">IF(I2="TRUE",D2*E2,(IF(H2="TRUE",(D2*E2)/K2,(IF(G2=FALSE,R2,"")))))</f>
        <v>7.260266016146832</v>
      </c>
      <c r="M2" s="175" t="str">
        <f t="shared" ref="M2:M29" si="2">IF(I2="TRUE",D2*E2,"")</f>
        <v/>
      </c>
      <c r="N2" s="176" t="str">
        <f t="shared" ref="N2:N29" si="3">IF(H2="TRUE",(D2*E2)/K2,"")</f>
        <v/>
      </c>
      <c r="O2" s="177" t="str">
        <f t="shared" ref="O2:O29" si="4">IF(G2=FALSE,IFERROR(VLOOKUP(C2&amp;"USD",$A$2:$A$29,1,FALSE),"USD"&amp;C2),"")</f>
        <v>USDCAD</v>
      </c>
      <c r="P2" s="178">
        <f t="shared" ref="P2:P29" si="5">IF(O2="","",(IF(LEFT(O2,3)="USD",VLOOKUP(O2,$A$2:$K$29,10,FALSE),VLOOKUP(O2,$A$2:$K$29,11,FALSE))))</f>
        <v>1.3773599999999999</v>
      </c>
      <c r="Q2" s="178" t="str">
        <f>IF(O2="","",(IF(LEFT(O2,3)="USD","ASK","BID")))</f>
        <v>ASK</v>
      </c>
      <c r="R2" s="175">
        <f t="shared" ref="R2:R29" si="6">IF(Q2="ASK",(D2*E2/P2),(IF(Q2="BID",((D2*E2)*P2),"")))</f>
        <v>7.260266016146832</v>
      </c>
    </row>
    <row r="3" spans="1:18" x14ac:dyDescent="0.3">
      <c r="A3" s="177" t="s">
        <v>32</v>
      </c>
      <c r="B3" s="179" t="str">
        <f t="shared" ref="B3:B29" si="7">LEFT(A3,3)</f>
        <v>AUD</v>
      </c>
      <c r="C3" s="180" t="str">
        <f t="shared" ref="C3:C29" si="8">RIGHT(A3,3)</f>
        <v>CHF</v>
      </c>
      <c r="D3" s="181">
        <v>100000</v>
      </c>
      <c r="E3" s="182">
        <f t="shared" ref="E3:E29" si="9">IF(F3=FALSE,0.0001,0.01)</f>
        <v>1E-4</v>
      </c>
      <c r="F3" s="181" t="b">
        <f t="shared" ref="F3:F29" si="10">ISNUMBER(SEARCH("JPY",A3))</f>
        <v>0</v>
      </c>
      <c r="G3" s="183" t="b">
        <f t="shared" si="0"/>
        <v>0</v>
      </c>
      <c r="H3" s="183" t="str">
        <f t="shared" ref="H3:I29" si="11">IF(B3="USD","TRUE","FALSE")</f>
        <v>FALSE</v>
      </c>
      <c r="I3" s="183" t="str">
        <f t="shared" si="11"/>
        <v>FALSE</v>
      </c>
      <c r="J3" s="28">
        <f>VLOOKUP(A3,'Data - Data Feed Market'!$A$2:$E$29,3,FALSE)</f>
        <v>0.64027999999999996</v>
      </c>
      <c r="K3" s="184">
        <f>VLOOKUP(A3,'Data - Data Feed Market'!$A$2:$E$29,4,FALSE)</f>
        <v>0.64054</v>
      </c>
      <c r="L3" s="196">
        <f t="shared" si="1"/>
        <v>10.37118470042833</v>
      </c>
      <c r="M3" s="175" t="str">
        <f t="shared" si="2"/>
        <v/>
      </c>
      <c r="N3" s="186" t="str">
        <f t="shared" si="3"/>
        <v/>
      </c>
      <c r="O3" s="177" t="str">
        <f t="shared" si="4"/>
        <v>USDCHF</v>
      </c>
      <c r="P3" s="178">
        <f t="shared" si="5"/>
        <v>0.96421000000000001</v>
      </c>
      <c r="Q3" s="178" t="str">
        <f t="shared" ref="Q3:Q29" si="12">IF(O3="","",(IF(LEFT(O3,3)="USD","ASK","BID")))</f>
        <v>ASK</v>
      </c>
      <c r="R3" s="175">
        <f t="shared" si="6"/>
        <v>10.37118470042833</v>
      </c>
    </row>
    <row r="4" spans="1:18" x14ac:dyDescent="0.3">
      <c r="A4" s="177" t="s">
        <v>23</v>
      </c>
      <c r="B4" s="179" t="str">
        <f t="shared" si="7"/>
        <v>AUD</v>
      </c>
      <c r="C4" s="180" t="str">
        <f t="shared" si="8"/>
        <v>JPY</v>
      </c>
      <c r="D4" s="181">
        <v>100000</v>
      </c>
      <c r="E4" s="182">
        <f t="shared" si="9"/>
        <v>0.01</v>
      </c>
      <c r="F4" s="181" t="b">
        <f t="shared" si="10"/>
        <v>1</v>
      </c>
      <c r="G4" s="183" t="b">
        <f t="shared" si="0"/>
        <v>0</v>
      </c>
      <c r="H4" s="183" t="str">
        <f t="shared" si="11"/>
        <v>FALSE</v>
      </c>
      <c r="I4" s="183" t="str">
        <f t="shared" si="11"/>
        <v>FALSE</v>
      </c>
      <c r="J4" s="28">
        <f>VLOOKUP(A4,'Data - Data Feed Market'!$A$2:$E$29,3,FALSE)</f>
        <v>71.459999999999994</v>
      </c>
      <c r="K4" s="184">
        <f>VLOOKUP(A4,'Data - Data Feed Market'!$A$2:$E$29,4,FALSE)</f>
        <v>71.475999999999999</v>
      </c>
      <c r="L4" s="196">
        <f t="shared" si="1"/>
        <v>9.2935075556216429</v>
      </c>
      <c r="M4" s="175" t="str">
        <f t="shared" si="2"/>
        <v/>
      </c>
      <c r="N4" s="186" t="str">
        <f t="shared" si="3"/>
        <v/>
      </c>
      <c r="O4" s="177" t="str">
        <f t="shared" si="4"/>
        <v>USDJPY</v>
      </c>
      <c r="P4" s="178">
        <f t="shared" si="5"/>
        <v>107.602</v>
      </c>
      <c r="Q4" s="178" t="str">
        <f t="shared" si="12"/>
        <v>ASK</v>
      </c>
      <c r="R4" s="175">
        <f t="shared" si="6"/>
        <v>9.2935075556216429</v>
      </c>
    </row>
    <row r="5" spans="1:18" x14ac:dyDescent="0.3">
      <c r="A5" s="177" t="s">
        <v>9</v>
      </c>
      <c r="B5" s="179" t="str">
        <f t="shared" si="7"/>
        <v>AUD</v>
      </c>
      <c r="C5" s="180" t="str">
        <f t="shared" si="8"/>
        <v>NZD</v>
      </c>
      <c r="D5" s="181">
        <v>100000</v>
      </c>
      <c r="E5" s="182">
        <f t="shared" si="9"/>
        <v>1E-4</v>
      </c>
      <c r="F5" s="181" t="b">
        <f t="shared" si="10"/>
        <v>0</v>
      </c>
      <c r="G5" s="183" t="b">
        <f t="shared" si="0"/>
        <v>0</v>
      </c>
      <c r="H5" s="183" t="str">
        <f t="shared" si="11"/>
        <v>FALSE</v>
      </c>
      <c r="I5" s="183" t="str">
        <f t="shared" si="11"/>
        <v>FALSE</v>
      </c>
      <c r="J5" s="28">
        <f>VLOOKUP(A5,'Data - Data Feed Market'!$A$2:$E$29,3,FALSE)</f>
        <v>1.0686899999999999</v>
      </c>
      <c r="K5" s="184">
        <f>VLOOKUP(A5,'Data - Data Feed Market'!$A$2:$E$29,4,FALSE)</f>
        <v>1.06904</v>
      </c>
      <c r="L5" s="196">
        <f t="shared" si="1"/>
        <v>6.2144999999999992</v>
      </c>
      <c r="M5" s="175" t="str">
        <f t="shared" si="2"/>
        <v/>
      </c>
      <c r="N5" s="186" t="str">
        <f t="shared" si="3"/>
        <v/>
      </c>
      <c r="O5" s="177" t="str">
        <f t="shared" si="4"/>
        <v>NZDUSD</v>
      </c>
      <c r="P5" s="178">
        <f t="shared" si="5"/>
        <v>0.62144999999999995</v>
      </c>
      <c r="Q5" s="178" t="str">
        <f t="shared" si="12"/>
        <v>BID</v>
      </c>
      <c r="R5" s="175">
        <f t="shared" si="6"/>
        <v>6.2144999999999992</v>
      </c>
    </row>
    <row r="6" spans="1:18" x14ac:dyDescent="0.3">
      <c r="A6" s="177" t="s">
        <v>26</v>
      </c>
      <c r="B6" s="179" t="str">
        <f t="shared" si="7"/>
        <v>AUD</v>
      </c>
      <c r="C6" s="180" t="str">
        <f t="shared" si="8"/>
        <v>USD</v>
      </c>
      <c r="D6" s="181">
        <v>100000</v>
      </c>
      <c r="E6" s="182">
        <f t="shared" si="9"/>
        <v>1E-4</v>
      </c>
      <c r="F6" s="181" t="b">
        <f t="shared" si="10"/>
        <v>0</v>
      </c>
      <c r="G6" s="183" t="b">
        <f t="shared" si="0"/>
        <v>1</v>
      </c>
      <c r="H6" s="183" t="str">
        <f t="shared" si="11"/>
        <v>FALSE</v>
      </c>
      <c r="I6" s="183" t="str">
        <f t="shared" si="11"/>
        <v>TRUE</v>
      </c>
      <c r="J6" s="28">
        <f>VLOOKUP(A6,'Data - Data Feed Market'!$A$2:$E$29,3,FALSE)</f>
        <v>0.66405000000000003</v>
      </c>
      <c r="K6" s="184">
        <f>VLOOKUP(A6,'Data - Data Feed Market'!$A$2:$E$29,4,FALSE)</f>
        <v>0.66420999999999997</v>
      </c>
      <c r="L6" s="196">
        <f t="shared" si="1"/>
        <v>10</v>
      </c>
      <c r="M6" s="175">
        <f t="shared" si="2"/>
        <v>10</v>
      </c>
      <c r="N6" s="186" t="str">
        <f t="shared" si="3"/>
        <v/>
      </c>
      <c r="O6" s="177" t="str">
        <f t="shared" si="4"/>
        <v/>
      </c>
      <c r="P6" s="178" t="str">
        <f t="shared" si="5"/>
        <v/>
      </c>
      <c r="Q6" s="178" t="str">
        <f t="shared" si="12"/>
        <v/>
      </c>
      <c r="R6" s="175" t="str">
        <f t="shared" si="6"/>
        <v/>
      </c>
    </row>
    <row r="7" spans="1:18" x14ac:dyDescent="0.3">
      <c r="A7" s="177" t="s">
        <v>31</v>
      </c>
      <c r="B7" s="179" t="str">
        <f t="shared" si="7"/>
        <v>CAD</v>
      </c>
      <c r="C7" s="180" t="str">
        <f t="shared" si="8"/>
        <v>CHF</v>
      </c>
      <c r="D7" s="181">
        <v>100000</v>
      </c>
      <c r="E7" s="182">
        <f t="shared" si="9"/>
        <v>1E-4</v>
      </c>
      <c r="F7" s="181" t="b">
        <f t="shared" si="10"/>
        <v>0</v>
      </c>
      <c r="G7" s="183" t="b">
        <f t="shared" si="0"/>
        <v>0</v>
      </c>
      <c r="H7" s="183" t="str">
        <f t="shared" si="11"/>
        <v>FALSE</v>
      </c>
      <c r="I7" s="183" t="str">
        <f t="shared" si="11"/>
        <v>FALSE</v>
      </c>
      <c r="J7" s="28">
        <f>VLOOKUP(A7,'Data - Data Feed Market'!$A$2:$E$29,3,FALSE)</f>
        <v>0.69994000000000001</v>
      </c>
      <c r="K7" s="184">
        <f>VLOOKUP(A7,'Data - Data Feed Market'!$A$2:$E$29,4,FALSE)</f>
        <v>0.70016999999999996</v>
      </c>
      <c r="L7" s="196">
        <f t="shared" si="1"/>
        <v>10.37118470042833</v>
      </c>
      <c r="M7" s="175" t="str">
        <f t="shared" si="2"/>
        <v/>
      </c>
      <c r="N7" s="186" t="str">
        <f t="shared" si="3"/>
        <v/>
      </c>
      <c r="O7" s="177" t="str">
        <f t="shared" si="4"/>
        <v>USDCHF</v>
      </c>
      <c r="P7" s="178">
        <f t="shared" si="5"/>
        <v>0.96421000000000001</v>
      </c>
      <c r="Q7" s="178" t="str">
        <f t="shared" si="12"/>
        <v>ASK</v>
      </c>
      <c r="R7" s="175">
        <f t="shared" si="6"/>
        <v>10.37118470042833</v>
      </c>
    </row>
    <row r="8" spans="1:18" x14ac:dyDescent="0.3">
      <c r="A8" s="177" t="s">
        <v>22</v>
      </c>
      <c r="B8" s="179" t="str">
        <f t="shared" si="7"/>
        <v>CAD</v>
      </c>
      <c r="C8" s="180" t="str">
        <f t="shared" si="8"/>
        <v>JPY</v>
      </c>
      <c r="D8" s="181">
        <v>100000</v>
      </c>
      <c r="E8" s="182">
        <f t="shared" si="9"/>
        <v>0.01</v>
      </c>
      <c r="F8" s="181" t="b">
        <f t="shared" si="10"/>
        <v>1</v>
      </c>
      <c r="G8" s="183" t="b">
        <f t="shared" si="0"/>
        <v>0</v>
      </c>
      <c r="H8" s="183" t="str">
        <f t="shared" si="11"/>
        <v>FALSE</v>
      </c>
      <c r="I8" s="183" t="str">
        <f t="shared" si="11"/>
        <v>FALSE</v>
      </c>
      <c r="J8" s="28">
        <f>VLOOKUP(A8,'Data - Data Feed Market'!$A$2:$E$29,3,FALSE)</f>
        <v>78.111000000000004</v>
      </c>
      <c r="K8" s="184">
        <f>VLOOKUP(A8,'Data - Data Feed Market'!$A$2:$E$29,4,FALSE)</f>
        <v>78.13</v>
      </c>
      <c r="L8" s="196">
        <f t="shared" si="1"/>
        <v>9.2935075556216429</v>
      </c>
      <c r="M8" s="175" t="str">
        <f t="shared" si="2"/>
        <v/>
      </c>
      <c r="N8" s="186" t="str">
        <f t="shared" si="3"/>
        <v/>
      </c>
      <c r="O8" s="177" t="str">
        <f t="shared" si="4"/>
        <v>USDJPY</v>
      </c>
      <c r="P8" s="178">
        <f t="shared" si="5"/>
        <v>107.602</v>
      </c>
      <c r="Q8" s="178" t="str">
        <f t="shared" si="12"/>
        <v>ASK</v>
      </c>
      <c r="R8" s="175">
        <f t="shared" si="6"/>
        <v>9.2935075556216429</v>
      </c>
    </row>
    <row r="9" spans="1:18" x14ac:dyDescent="0.3">
      <c r="A9" s="177" t="s">
        <v>21</v>
      </c>
      <c r="B9" s="179" t="str">
        <f t="shared" si="7"/>
        <v>CHF</v>
      </c>
      <c r="C9" s="180" t="str">
        <f t="shared" si="8"/>
        <v>JPY</v>
      </c>
      <c r="D9" s="181">
        <v>100000</v>
      </c>
      <c r="E9" s="182">
        <f t="shared" si="9"/>
        <v>0.01</v>
      </c>
      <c r="F9" s="181" t="b">
        <f t="shared" si="10"/>
        <v>1</v>
      </c>
      <c r="G9" s="183" t="b">
        <f t="shared" si="0"/>
        <v>0</v>
      </c>
      <c r="H9" s="183" t="str">
        <f t="shared" si="11"/>
        <v>FALSE</v>
      </c>
      <c r="I9" s="183" t="str">
        <f t="shared" si="11"/>
        <v>FALSE</v>
      </c>
      <c r="J9" s="28">
        <f>VLOOKUP(A9,'Data - Data Feed Market'!$A$2:$E$29,3,FALSE)</f>
        <v>111.586</v>
      </c>
      <c r="K9" s="184">
        <f>VLOOKUP(A9,'Data - Data Feed Market'!$A$2:$E$29,4,FALSE)</f>
        <v>111.605</v>
      </c>
      <c r="L9" s="196">
        <f t="shared" si="1"/>
        <v>9.2935075556216429</v>
      </c>
      <c r="M9" s="175" t="str">
        <f t="shared" si="2"/>
        <v/>
      </c>
      <c r="N9" s="186" t="str">
        <f t="shared" si="3"/>
        <v/>
      </c>
      <c r="O9" s="177" t="str">
        <f t="shared" si="4"/>
        <v>USDJPY</v>
      </c>
      <c r="P9" s="178">
        <f t="shared" si="5"/>
        <v>107.602</v>
      </c>
      <c r="Q9" s="178" t="str">
        <f t="shared" si="12"/>
        <v>ASK</v>
      </c>
      <c r="R9" s="175">
        <f t="shared" si="6"/>
        <v>9.2935075556216429</v>
      </c>
    </row>
    <row r="10" spans="1:18" x14ac:dyDescent="0.3">
      <c r="A10" s="177" t="s">
        <v>11</v>
      </c>
      <c r="B10" s="179" t="str">
        <f t="shared" si="7"/>
        <v>EUR</v>
      </c>
      <c r="C10" s="180" t="str">
        <f t="shared" si="8"/>
        <v>AUD</v>
      </c>
      <c r="D10" s="181">
        <v>100000</v>
      </c>
      <c r="E10" s="182">
        <f t="shared" si="9"/>
        <v>1E-4</v>
      </c>
      <c r="F10" s="181" t="b">
        <f t="shared" si="10"/>
        <v>0</v>
      </c>
      <c r="G10" s="183" t="b">
        <f t="shared" si="0"/>
        <v>0</v>
      </c>
      <c r="H10" s="183" t="str">
        <f t="shared" si="11"/>
        <v>FALSE</v>
      </c>
      <c r="I10" s="183" t="str">
        <f t="shared" si="11"/>
        <v>FALSE</v>
      </c>
      <c r="J10" s="28">
        <f>VLOOKUP(A10,'Data - Data Feed Market'!$A$2:$E$29,3,FALSE)</f>
        <v>1.6671499999999999</v>
      </c>
      <c r="K10" s="184">
        <f>VLOOKUP(A10,'Data - Data Feed Market'!$A$2:$E$29,4,FALSE)</f>
        <v>1.66743</v>
      </c>
      <c r="L10" s="196">
        <f t="shared" si="1"/>
        <v>6.6420999999999992</v>
      </c>
      <c r="M10" s="175" t="str">
        <f t="shared" si="2"/>
        <v/>
      </c>
      <c r="N10" s="186" t="str">
        <f t="shared" si="3"/>
        <v/>
      </c>
      <c r="O10" s="177" t="str">
        <f t="shared" si="4"/>
        <v>AUDUSD</v>
      </c>
      <c r="P10" s="178">
        <f t="shared" si="5"/>
        <v>0.66420999999999997</v>
      </c>
      <c r="Q10" s="178" t="str">
        <f t="shared" si="12"/>
        <v>BID</v>
      </c>
      <c r="R10" s="175">
        <f t="shared" si="6"/>
        <v>6.6420999999999992</v>
      </c>
    </row>
    <row r="11" spans="1:18" x14ac:dyDescent="0.3">
      <c r="A11" s="177" t="s">
        <v>15</v>
      </c>
      <c r="B11" s="179" t="str">
        <f t="shared" si="7"/>
        <v>EUR</v>
      </c>
      <c r="C11" s="180" t="str">
        <f t="shared" si="8"/>
        <v>CAD</v>
      </c>
      <c r="D11" s="181">
        <v>100000</v>
      </c>
      <c r="E11" s="182">
        <f t="shared" si="9"/>
        <v>1E-4</v>
      </c>
      <c r="F11" s="181" t="b">
        <f t="shared" si="10"/>
        <v>0</v>
      </c>
      <c r="G11" s="183" t="b">
        <f t="shared" si="0"/>
        <v>0</v>
      </c>
      <c r="H11" s="183" t="str">
        <f t="shared" si="11"/>
        <v>FALSE</v>
      </c>
      <c r="I11" s="183" t="str">
        <f t="shared" si="11"/>
        <v>FALSE</v>
      </c>
      <c r="J11" s="28">
        <f>VLOOKUP(A11,'Data - Data Feed Market'!$A$2:$E$29,3,FALSE)</f>
        <v>1.52515</v>
      </c>
      <c r="K11" s="184">
        <f>VLOOKUP(A11,'Data - Data Feed Market'!$A$2:$E$29,4,FALSE)</f>
        <v>1.5254399999999999</v>
      </c>
      <c r="L11" s="196">
        <f t="shared" si="1"/>
        <v>7.260266016146832</v>
      </c>
      <c r="M11" s="175" t="str">
        <f t="shared" si="2"/>
        <v/>
      </c>
      <c r="N11" s="186" t="str">
        <f t="shared" si="3"/>
        <v/>
      </c>
      <c r="O11" s="177" t="str">
        <f t="shared" si="4"/>
        <v>USDCAD</v>
      </c>
      <c r="P11" s="178">
        <f t="shared" si="5"/>
        <v>1.3773599999999999</v>
      </c>
      <c r="Q11" s="178" t="str">
        <f t="shared" si="12"/>
        <v>ASK</v>
      </c>
      <c r="R11" s="175">
        <f t="shared" si="6"/>
        <v>7.260266016146832</v>
      </c>
    </row>
    <row r="12" spans="1:18" x14ac:dyDescent="0.3">
      <c r="A12" s="177" t="s">
        <v>30</v>
      </c>
      <c r="B12" s="179" t="str">
        <f t="shared" si="7"/>
        <v>EUR</v>
      </c>
      <c r="C12" s="180" t="str">
        <f t="shared" si="8"/>
        <v>CHF</v>
      </c>
      <c r="D12" s="181">
        <v>100000</v>
      </c>
      <c r="E12" s="182">
        <f t="shared" si="9"/>
        <v>1E-4</v>
      </c>
      <c r="F12" s="181" t="b">
        <f t="shared" si="10"/>
        <v>0</v>
      </c>
      <c r="G12" s="183" t="b">
        <f t="shared" si="0"/>
        <v>0</v>
      </c>
      <c r="H12" s="183" t="str">
        <f t="shared" si="11"/>
        <v>FALSE</v>
      </c>
      <c r="I12" s="183" t="str">
        <f t="shared" si="11"/>
        <v>FALSE</v>
      </c>
      <c r="J12" s="28">
        <f>VLOOKUP(A12,'Data - Data Feed Market'!$A$2:$E$29,3,FALSE)</f>
        <v>1.06769</v>
      </c>
      <c r="K12" s="184">
        <f>VLOOKUP(A12,'Data - Data Feed Market'!$A$2:$E$29,4,FALSE)</f>
        <v>1.0678799999999999</v>
      </c>
      <c r="L12" s="196">
        <f t="shared" si="1"/>
        <v>10.37118470042833</v>
      </c>
      <c r="M12" s="175" t="str">
        <f t="shared" si="2"/>
        <v/>
      </c>
      <c r="N12" s="186" t="str">
        <f t="shared" si="3"/>
        <v/>
      </c>
      <c r="O12" s="177" t="str">
        <f t="shared" si="4"/>
        <v>USDCHF</v>
      </c>
      <c r="P12" s="178">
        <f t="shared" si="5"/>
        <v>0.96421000000000001</v>
      </c>
      <c r="Q12" s="178" t="str">
        <f t="shared" si="12"/>
        <v>ASK</v>
      </c>
      <c r="R12" s="175">
        <f t="shared" si="6"/>
        <v>10.37118470042833</v>
      </c>
    </row>
    <row r="13" spans="1:18" x14ac:dyDescent="0.3">
      <c r="A13" s="177" t="s">
        <v>33</v>
      </c>
      <c r="B13" s="179" t="str">
        <f t="shared" si="7"/>
        <v>EUR</v>
      </c>
      <c r="C13" s="180" t="str">
        <f t="shared" si="8"/>
        <v>GBP</v>
      </c>
      <c r="D13" s="181">
        <v>100000</v>
      </c>
      <c r="E13" s="182">
        <f t="shared" si="9"/>
        <v>1E-4</v>
      </c>
      <c r="F13" s="181" t="b">
        <f t="shared" si="10"/>
        <v>0</v>
      </c>
      <c r="G13" s="183" t="b">
        <f t="shared" si="0"/>
        <v>0</v>
      </c>
      <c r="H13" s="183" t="str">
        <f t="shared" si="11"/>
        <v>FALSE</v>
      </c>
      <c r="I13" s="183" t="str">
        <f t="shared" si="11"/>
        <v>FALSE</v>
      </c>
      <c r="J13" s="28">
        <f>VLOOKUP(A13,'Data - Data Feed Market'!$A$2:$E$29,3,FALSE)</f>
        <v>0.89866000000000001</v>
      </c>
      <c r="K13" s="184">
        <f>VLOOKUP(A13,'Data - Data Feed Market'!$A$2:$E$29,4,FALSE)</f>
        <v>0.89885000000000004</v>
      </c>
      <c r="L13" s="196">
        <f t="shared" si="1"/>
        <v>12.321200000000001</v>
      </c>
      <c r="M13" s="175" t="str">
        <f t="shared" si="2"/>
        <v/>
      </c>
      <c r="N13" s="186" t="str">
        <f t="shared" si="3"/>
        <v/>
      </c>
      <c r="O13" s="177" t="str">
        <f t="shared" si="4"/>
        <v>GBPUSD</v>
      </c>
      <c r="P13" s="178">
        <f t="shared" si="5"/>
        <v>1.2321200000000001</v>
      </c>
      <c r="Q13" s="178" t="str">
        <f t="shared" si="12"/>
        <v>BID</v>
      </c>
      <c r="R13" s="175">
        <f t="shared" si="6"/>
        <v>12.321200000000001</v>
      </c>
    </row>
    <row r="14" spans="1:18" x14ac:dyDescent="0.3">
      <c r="A14" s="177" t="s">
        <v>20</v>
      </c>
      <c r="B14" s="179" t="str">
        <f t="shared" si="7"/>
        <v>EUR</v>
      </c>
      <c r="C14" s="180" t="str">
        <f t="shared" si="8"/>
        <v>JPY</v>
      </c>
      <c r="D14" s="181">
        <v>100000</v>
      </c>
      <c r="E14" s="182">
        <f t="shared" si="9"/>
        <v>0.01</v>
      </c>
      <c r="F14" s="181" t="b">
        <f t="shared" si="10"/>
        <v>1</v>
      </c>
      <c r="G14" s="183" t="b">
        <f t="shared" si="0"/>
        <v>0</v>
      </c>
      <c r="H14" s="183" t="str">
        <f t="shared" si="11"/>
        <v>FALSE</v>
      </c>
      <c r="I14" s="183" t="str">
        <f t="shared" si="11"/>
        <v>FALSE</v>
      </c>
      <c r="J14" s="28">
        <f>VLOOKUP(A14,'Data - Data Feed Market'!$A$2:$E$29,3,FALSE)</f>
        <v>119.152</v>
      </c>
      <c r="K14" s="184">
        <f>VLOOKUP(A14,'Data - Data Feed Market'!$A$2:$E$29,4,FALSE)</f>
        <v>119.169</v>
      </c>
      <c r="L14" s="196">
        <f t="shared" si="1"/>
        <v>9.2935075556216429</v>
      </c>
      <c r="M14" s="175" t="str">
        <f t="shared" si="2"/>
        <v/>
      </c>
      <c r="N14" s="186" t="str">
        <f t="shared" si="3"/>
        <v/>
      </c>
      <c r="O14" s="177" t="str">
        <f t="shared" si="4"/>
        <v>USDJPY</v>
      </c>
      <c r="P14" s="178">
        <f t="shared" si="5"/>
        <v>107.602</v>
      </c>
      <c r="Q14" s="178" t="str">
        <f t="shared" si="12"/>
        <v>ASK</v>
      </c>
      <c r="R14" s="175">
        <f t="shared" si="6"/>
        <v>9.2935075556216429</v>
      </c>
    </row>
    <row r="15" spans="1:18" x14ac:dyDescent="0.3">
      <c r="A15" s="177" t="s">
        <v>8</v>
      </c>
      <c r="B15" s="179" t="str">
        <f t="shared" si="7"/>
        <v>EUR</v>
      </c>
      <c r="C15" s="180" t="str">
        <f t="shared" si="8"/>
        <v>NZD</v>
      </c>
      <c r="D15" s="181">
        <v>100000</v>
      </c>
      <c r="E15" s="182">
        <f t="shared" si="9"/>
        <v>1E-4</v>
      </c>
      <c r="F15" s="181" t="b">
        <f t="shared" si="10"/>
        <v>0</v>
      </c>
      <c r="G15" s="183" t="b">
        <f t="shared" si="0"/>
        <v>0</v>
      </c>
      <c r="H15" s="183" t="str">
        <f t="shared" si="11"/>
        <v>FALSE</v>
      </c>
      <c r="I15" s="183" t="str">
        <f t="shared" si="11"/>
        <v>FALSE</v>
      </c>
      <c r="J15" s="28">
        <f>VLOOKUP(A15,'Data - Data Feed Market'!$A$2:$E$29,3,FALSE)</f>
        <v>1.7819199999999999</v>
      </c>
      <c r="K15" s="184">
        <f>VLOOKUP(A15,'Data - Data Feed Market'!$A$2:$E$29,4,FALSE)</f>
        <v>1.78251</v>
      </c>
      <c r="L15" s="196">
        <f t="shared" si="1"/>
        <v>6.2144999999999992</v>
      </c>
      <c r="M15" s="175" t="str">
        <f t="shared" si="2"/>
        <v/>
      </c>
      <c r="N15" s="186" t="str">
        <f t="shared" si="3"/>
        <v/>
      </c>
      <c r="O15" s="177" t="str">
        <f t="shared" si="4"/>
        <v>NZDUSD</v>
      </c>
      <c r="P15" s="178">
        <f t="shared" si="5"/>
        <v>0.62144999999999995</v>
      </c>
      <c r="Q15" s="178" t="str">
        <f t="shared" si="12"/>
        <v>BID</v>
      </c>
      <c r="R15" s="175">
        <f t="shared" si="6"/>
        <v>6.2144999999999992</v>
      </c>
    </row>
    <row r="16" spans="1:18" x14ac:dyDescent="0.3">
      <c r="A16" s="177" t="s">
        <v>6</v>
      </c>
      <c r="B16" s="179" t="str">
        <f t="shared" si="7"/>
        <v>EUR</v>
      </c>
      <c r="C16" s="180" t="str">
        <f t="shared" si="8"/>
        <v>USD</v>
      </c>
      <c r="D16" s="181">
        <v>100000</v>
      </c>
      <c r="E16" s="182">
        <f t="shared" si="9"/>
        <v>1E-4</v>
      </c>
      <c r="F16" s="181" t="b">
        <f t="shared" si="10"/>
        <v>0</v>
      </c>
      <c r="G16" s="183" t="b">
        <f t="shared" si="0"/>
        <v>1</v>
      </c>
      <c r="H16" s="183" t="str">
        <f t="shared" si="11"/>
        <v>FALSE</v>
      </c>
      <c r="I16" s="183" t="str">
        <f t="shared" si="11"/>
        <v>TRUE</v>
      </c>
      <c r="J16" s="28">
        <f>VLOOKUP(A16,'Data - Data Feed Market'!$A$2:$E$29,3,FALSE)</f>
        <v>1.1072599999999999</v>
      </c>
      <c r="K16" s="184">
        <f>VLOOKUP(A16,'Data - Data Feed Market'!$A$2:$E$29,4,FALSE)</f>
        <v>1.10738</v>
      </c>
      <c r="L16" s="196">
        <f t="shared" si="1"/>
        <v>10</v>
      </c>
      <c r="M16" s="175">
        <f t="shared" si="2"/>
        <v>10</v>
      </c>
      <c r="N16" s="186" t="str">
        <f t="shared" si="3"/>
        <v/>
      </c>
      <c r="O16" s="177" t="str">
        <f t="shared" si="4"/>
        <v/>
      </c>
      <c r="P16" s="178" t="str">
        <f t="shared" si="5"/>
        <v/>
      </c>
      <c r="Q16" s="178" t="str">
        <f t="shared" si="12"/>
        <v/>
      </c>
      <c r="R16" s="175" t="str">
        <f t="shared" si="6"/>
        <v/>
      </c>
    </row>
    <row r="17" spans="1:18" x14ac:dyDescent="0.3">
      <c r="A17" s="177" t="s">
        <v>10</v>
      </c>
      <c r="B17" s="179" t="str">
        <f t="shared" si="7"/>
        <v>GBP</v>
      </c>
      <c r="C17" s="180" t="str">
        <f t="shared" si="8"/>
        <v>AUD</v>
      </c>
      <c r="D17" s="181">
        <v>100000</v>
      </c>
      <c r="E17" s="182">
        <f t="shared" si="9"/>
        <v>1E-4</v>
      </c>
      <c r="F17" s="181" t="b">
        <f t="shared" si="10"/>
        <v>0</v>
      </c>
      <c r="G17" s="183" t="b">
        <f t="shared" si="0"/>
        <v>0</v>
      </c>
      <c r="H17" s="183" t="str">
        <f t="shared" si="11"/>
        <v>FALSE</v>
      </c>
      <c r="I17" s="183" t="str">
        <f t="shared" si="11"/>
        <v>FALSE</v>
      </c>
      <c r="J17" s="28">
        <f>VLOOKUP(A17,'Data - Data Feed Market'!$A$2:$E$29,3,FALSE)</f>
        <v>1.8548800000000001</v>
      </c>
      <c r="K17" s="184">
        <f>VLOOKUP(A17,'Data - Data Feed Market'!$A$2:$E$29,4,FALSE)</f>
        <v>1.85528</v>
      </c>
      <c r="L17" s="196">
        <f t="shared" si="1"/>
        <v>6.6420999999999992</v>
      </c>
      <c r="M17" s="175" t="str">
        <f t="shared" si="2"/>
        <v/>
      </c>
      <c r="N17" s="186" t="str">
        <f t="shared" si="3"/>
        <v/>
      </c>
      <c r="O17" s="177" t="str">
        <f t="shared" si="4"/>
        <v>AUDUSD</v>
      </c>
      <c r="P17" s="178">
        <f t="shared" si="5"/>
        <v>0.66420999999999997</v>
      </c>
      <c r="Q17" s="178" t="str">
        <f t="shared" si="12"/>
        <v>BID</v>
      </c>
      <c r="R17" s="175">
        <f t="shared" si="6"/>
        <v>6.6420999999999992</v>
      </c>
    </row>
    <row r="18" spans="1:18" x14ac:dyDescent="0.3">
      <c r="A18" s="177" t="s">
        <v>14</v>
      </c>
      <c r="B18" s="179" t="str">
        <f t="shared" si="7"/>
        <v>GBP</v>
      </c>
      <c r="C18" s="180" t="str">
        <f t="shared" si="8"/>
        <v>CAD</v>
      </c>
      <c r="D18" s="181">
        <v>100000</v>
      </c>
      <c r="E18" s="182">
        <f t="shared" si="9"/>
        <v>1E-4</v>
      </c>
      <c r="F18" s="181" t="b">
        <f t="shared" si="10"/>
        <v>0</v>
      </c>
      <c r="G18" s="183" t="b">
        <f t="shared" si="0"/>
        <v>0</v>
      </c>
      <c r="H18" s="183" t="str">
        <f t="shared" si="11"/>
        <v>FALSE</v>
      </c>
      <c r="I18" s="183" t="str">
        <f t="shared" si="11"/>
        <v>FALSE</v>
      </c>
      <c r="J18" s="28">
        <f>VLOOKUP(A18,'Data - Data Feed Market'!$A$2:$E$29,3,FALSE)</f>
        <v>1.6968799999999999</v>
      </c>
      <c r="K18" s="184">
        <f>VLOOKUP(A18,'Data - Data Feed Market'!$A$2:$E$29,4,FALSE)</f>
        <v>1.6973199999999999</v>
      </c>
      <c r="L18" s="196">
        <f t="shared" si="1"/>
        <v>7.260266016146832</v>
      </c>
      <c r="M18" s="175" t="str">
        <f t="shared" si="2"/>
        <v/>
      </c>
      <c r="N18" s="186" t="str">
        <f t="shared" si="3"/>
        <v/>
      </c>
      <c r="O18" s="177" t="str">
        <f t="shared" si="4"/>
        <v>USDCAD</v>
      </c>
      <c r="P18" s="178">
        <f t="shared" si="5"/>
        <v>1.3773599999999999</v>
      </c>
      <c r="Q18" s="178" t="str">
        <f t="shared" si="12"/>
        <v>ASK</v>
      </c>
      <c r="R18" s="175">
        <f t="shared" si="6"/>
        <v>7.260266016146832</v>
      </c>
    </row>
    <row r="19" spans="1:18" x14ac:dyDescent="0.3">
      <c r="A19" s="177" t="s">
        <v>29</v>
      </c>
      <c r="B19" s="179" t="str">
        <f t="shared" si="7"/>
        <v>GBP</v>
      </c>
      <c r="C19" s="180" t="str">
        <f t="shared" si="8"/>
        <v>CHF</v>
      </c>
      <c r="D19" s="181">
        <v>100000</v>
      </c>
      <c r="E19" s="182">
        <f t="shared" si="9"/>
        <v>1E-4</v>
      </c>
      <c r="F19" s="181" t="b">
        <f t="shared" si="10"/>
        <v>0</v>
      </c>
      <c r="G19" s="183" t="b">
        <f t="shared" si="0"/>
        <v>0</v>
      </c>
      <c r="H19" s="183" t="str">
        <f t="shared" si="11"/>
        <v>FALSE</v>
      </c>
      <c r="I19" s="183" t="str">
        <f t="shared" si="11"/>
        <v>FALSE</v>
      </c>
      <c r="J19" s="28">
        <f>VLOOKUP(A19,'Data - Data Feed Market'!$A$2:$E$29,3,FALSE)</f>
        <v>1.1878299999999999</v>
      </c>
      <c r="K19" s="184">
        <f>VLOOKUP(A19,'Data - Data Feed Market'!$A$2:$E$29,4,FALSE)</f>
        <v>1.18818</v>
      </c>
      <c r="L19" s="196">
        <f t="shared" si="1"/>
        <v>10.37118470042833</v>
      </c>
      <c r="M19" s="175" t="str">
        <f t="shared" si="2"/>
        <v/>
      </c>
      <c r="N19" s="186" t="str">
        <f t="shared" si="3"/>
        <v/>
      </c>
      <c r="O19" s="177" t="str">
        <f t="shared" si="4"/>
        <v>USDCHF</v>
      </c>
      <c r="P19" s="178">
        <f t="shared" si="5"/>
        <v>0.96421000000000001</v>
      </c>
      <c r="Q19" s="178" t="str">
        <f t="shared" si="12"/>
        <v>ASK</v>
      </c>
      <c r="R19" s="175">
        <f t="shared" si="6"/>
        <v>10.37118470042833</v>
      </c>
    </row>
    <row r="20" spans="1:18" x14ac:dyDescent="0.3">
      <c r="A20" s="177" t="s">
        <v>19</v>
      </c>
      <c r="B20" s="179" t="str">
        <f t="shared" si="7"/>
        <v>GBP</v>
      </c>
      <c r="C20" s="180" t="str">
        <f t="shared" si="8"/>
        <v>JPY</v>
      </c>
      <c r="D20" s="181">
        <v>100000</v>
      </c>
      <c r="E20" s="182">
        <f t="shared" si="9"/>
        <v>0.01</v>
      </c>
      <c r="F20" s="181" t="b">
        <f t="shared" si="10"/>
        <v>1</v>
      </c>
      <c r="G20" s="183" t="b">
        <f t="shared" si="0"/>
        <v>0</v>
      </c>
      <c r="H20" s="183" t="str">
        <f t="shared" si="11"/>
        <v>FALSE</v>
      </c>
      <c r="I20" s="183" t="str">
        <f t="shared" si="11"/>
        <v>FALSE</v>
      </c>
      <c r="J20" s="28">
        <f>VLOOKUP(A20,'Data - Data Feed Market'!$A$2:$E$29,3,FALSE)</f>
        <v>132.56299999999999</v>
      </c>
      <c r="K20" s="184">
        <f>VLOOKUP(A20,'Data - Data Feed Market'!$A$2:$E$29,4,FALSE)</f>
        <v>132.59399999999999</v>
      </c>
      <c r="L20" s="196">
        <f t="shared" si="1"/>
        <v>9.2935075556216429</v>
      </c>
      <c r="M20" s="175" t="str">
        <f t="shared" si="2"/>
        <v/>
      </c>
      <c r="N20" s="186" t="str">
        <f t="shared" si="3"/>
        <v/>
      </c>
      <c r="O20" s="177" t="str">
        <f t="shared" si="4"/>
        <v>USDJPY</v>
      </c>
      <c r="P20" s="178">
        <f t="shared" si="5"/>
        <v>107.602</v>
      </c>
      <c r="Q20" s="178" t="str">
        <f t="shared" si="12"/>
        <v>ASK</v>
      </c>
      <c r="R20" s="175">
        <f t="shared" si="6"/>
        <v>9.2935075556216429</v>
      </c>
    </row>
    <row r="21" spans="1:18" x14ac:dyDescent="0.3">
      <c r="A21" s="177" t="s">
        <v>7</v>
      </c>
      <c r="B21" s="179" t="str">
        <f t="shared" si="7"/>
        <v>GBP</v>
      </c>
      <c r="C21" s="180" t="str">
        <f t="shared" si="8"/>
        <v>NZD</v>
      </c>
      <c r="D21" s="181">
        <v>100000</v>
      </c>
      <c r="E21" s="182">
        <f t="shared" si="9"/>
        <v>1E-4</v>
      </c>
      <c r="F21" s="181" t="b">
        <f t="shared" si="10"/>
        <v>0</v>
      </c>
      <c r="G21" s="183" t="b">
        <f t="shared" si="0"/>
        <v>0</v>
      </c>
      <c r="H21" s="183" t="str">
        <f t="shared" si="11"/>
        <v>FALSE</v>
      </c>
      <c r="I21" s="183" t="str">
        <f t="shared" si="11"/>
        <v>FALSE</v>
      </c>
      <c r="J21" s="28">
        <f>VLOOKUP(A21,'Data - Data Feed Market'!$A$2:$E$29,3,FALSE)</f>
        <v>1.9825200000000001</v>
      </c>
      <c r="K21" s="184">
        <f>VLOOKUP(A21,'Data - Data Feed Market'!$A$2:$E$29,4,FALSE)</f>
        <v>1.9831799999999999</v>
      </c>
      <c r="L21" s="196">
        <f t="shared" si="1"/>
        <v>6.2144999999999992</v>
      </c>
      <c r="M21" s="175" t="str">
        <f t="shared" si="2"/>
        <v/>
      </c>
      <c r="N21" s="186" t="str">
        <f t="shared" si="3"/>
        <v/>
      </c>
      <c r="O21" s="177" t="str">
        <f t="shared" si="4"/>
        <v>NZDUSD</v>
      </c>
      <c r="P21" s="178">
        <f t="shared" si="5"/>
        <v>0.62144999999999995</v>
      </c>
      <c r="Q21" s="178" t="str">
        <f t="shared" si="12"/>
        <v>BID</v>
      </c>
      <c r="R21" s="175">
        <f t="shared" si="6"/>
        <v>6.2144999999999992</v>
      </c>
    </row>
    <row r="22" spans="1:18" x14ac:dyDescent="0.3">
      <c r="A22" s="177" t="s">
        <v>25</v>
      </c>
      <c r="B22" s="179" t="str">
        <f t="shared" si="7"/>
        <v>GBP</v>
      </c>
      <c r="C22" s="180" t="str">
        <f t="shared" si="8"/>
        <v>USD</v>
      </c>
      <c r="D22" s="181">
        <v>100000</v>
      </c>
      <c r="E22" s="182">
        <f t="shared" si="9"/>
        <v>1E-4</v>
      </c>
      <c r="F22" s="181" t="b">
        <f t="shared" si="10"/>
        <v>0</v>
      </c>
      <c r="G22" s="183" t="b">
        <f t="shared" si="0"/>
        <v>1</v>
      </c>
      <c r="H22" s="183" t="str">
        <f t="shared" si="11"/>
        <v>FALSE</v>
      </c>
      <c r="I22" s="183" t="str">
        <f t="shared" si="11"/>
        <v>TRUE</v>
      </c>
      <c r="J22" s="28">
        <f>VLOOKUP(A22,'Data - Data Feed Market'!$A$2:$E$29,3,FALSE)</f>
        <v>1.23193</v>
      </c>
      <c r="K22" s="184">
        <f>VLOOKUP(A22,'Data - Data Feed Market'!$A$2:$E$29,4,FALSE)</f>
        <v>1.2321200000000001</v>
      </c>
      <c r="L22" s="196">
        <f t="shared" si="1"/>
        <v>10</v>
      </c>
      <c r="M22" s="175">
        <f t="shared" si="2"/>
        <v>10</v>
      </c>
      <c r="N22" s="186" t="str">
        <f t="shared" si="3"/>
        <v/>
      </c>
      <c r="O22" s="177" t="str">
        <f t="shared" si="4"/>
        <v/>
      </c>
      <c r="P22" s="178" t="str">
        <f t="shared" si="5"/>
        <v/>
      </c>
      <c r="Q22" s="178" t="str">
        <f t="shared" si="12"/>
        <v/>
      </c>
      <c r="R22" s="175" t="str">
        <f t="shared" si="6"/>
        <v/>
      </c>
    </row>
    <row r="23" spans="1:18" x14ac:dyDescent="0.3">
      <c r="A23" s="177" t="s">
        <v>13</v>
      </c>
      <c r="B23" s="179" t="str">
        <f t="shared" si="7"/>
        <v>NZD</v>
      </c>
      <c r="C23" s="180" t="str">
        <f t="shared" si="8"/>
        <v>CAD</v>
      </c>
      <c r="D23" s="181">
        <v>100000</v>
      </c>
      <c r="E23" s="182">
        <f t="shared" si="9"/>
        <v>1E-4</v>
      </c>
      <c r="F23" s="181" t="b">
        <f t="shared" si="10"/>
        <v>0</v>
      </c>
      <c r="G23" s="183" t="b">
        <f t="shared" si="0"/>
        <v>0</v>
      </c>
      <c r="H23" s="183" t="str">
        <f t="shared" si="11"/>
        <v>FALSE</v>
      </c>
      <c r="I23" s="183" t="str">
        <f t="shared" si="11"/>
        <v>FALSE</v>
      </c>
      <c r="J23" s="28">
        <f>VLOOKUP(A23,'Data - Data Feed Market'!$A$2:$E$29,3,FALSE)</f>
        <v>0.85572999999999999</v>
      </c>
      <c r="K23" s="184">
        <f>VLOOKUP(A23,'Data - Data Feed Market'!$A$2:$E$29,4,FALSE)</f>
        <v>0.85604000000000002</v>
      </c>
      <c r="L23" s="196">
        <f t="shared" si="1"/>
        <v>7.260266016146832</v>
      </c>
      <c r="M23" s="175" t="str">
        <f t="shared" si="2"/>
        <v/>
      </c>
      <c r="N23" s="186" t="str">
        <f t="shared" si="3"/>
        <v/>
      </c>
      <c r="O23" s="177" t="str">
        <f t="shared" si="4"/>
        <v>USDCAD</v>
      </c>
      <c r="P23" s="178">
        <f t="shared" si="5"/>
        <v>1.3773599999999999</v>
      </c>
      <c r="Q23" s="178" t="str">
        <f t="shared" si="12"/>
        <v>ASK</v>
      </c>
      <c r="R23" s="175">
        <f t="shared" si="6"/>
        <v>7.260266016146832</v>
      </c>
    </row>
    <row r="24" spans="1:18" x14ac:dyDescent="0.3">
      <c r="A24" s="177" t="s">
        <v>28</v>
      </c>
      <c r="B24" s="179" t="str">
        <f t="shared" si="7"/>
        <v>NZD</v>
      </c>
      <c r="C24" s="180" t="str">
        <f t="shared" si="8"/>
        <v>CHF</v>
      </c>
      <c r="D24" s="181">
        <v>100000</v>
      </c>
      <c r="E24" s="182">
        <f t="shared" si="9"/>
        <v>1E-4</v>
      </c>
      <c r="F24" s="181" t="b">
        <f t="shared" si="10"/>
        <v>0</v>
      </c>
      <c r="G24" s="183" t="b">
        <f t="shared" si="0"/>
        <v>0</v>
      </c>
      <c r="H24" s="183" t="str">
        <f t="shared" si="11"/>
        <v>FALSE</v>
      </c>
      <c r="I24" s="183" t="str">
        <f t="shared" si="11"/>
        <v>FALSE</v>
      </c>
      <c r="J24" s="28">
        <f>VLOOKUP(A24,'Data - Data Feed Market'!$A$2:$E$29,3,FALSE)</f>
        <v>0.59902</v>
      </c>
      <c r="K24" s="184">
        <f>VLOOKUP(A24,'Data - Data Feed Market'!$A$2:$E$29,4,FALSE)</f>
        <v>0.59930000000000005</v>
      </c>
      <c r="L24" s="196">
        <f t="shared" si="1"/>
        <v>10.37118470042833</v>
      </c>
      <c r="M24" s="175" t="str">
        <f t="shared" si="2"/>
        <v/>
      </c>
      <c r="N24" s="186" t="str">
        <f t="shared" si="3"/>
        <v/>
      </c>
      <c r="O24" s="177" t="str">
        <f t="shared" si="4"/>
        <v>USDCHF</v>
      </c>
      <c r="P24" s="178">
        <f t="shared" si="5"/>
        <v>0.96421000000000001</v>
      </c>
      <c r="Q24" s="178" t="str">
        <f t="shared" si="12"/>
        <v>ASK</v>
      </c>
      <c r="R24" s="175">
        <f t="shared" si="6"/>
        <v>10.37118470042833</v>
      </c>
    </row>
    <row r="25" spans="1:18" x14ac:dyDescent="0.3">
      <c r="A25" s="177" t="s">
        <v>18</v>
      </c>
      <c r="B25" s="179" t="str">
        <f t="shared" si="7"/>
        <v>NZD</v>
      </c>
      <c r="C25" s="180" t="str">
        <f t="shared" si="8"/>
        <v>JPY</v>
      </c>
      <c r="D25" s="181">
        <v>100000</v>
      </c>
      <c r="E25" s="182">
        <f t="shared" si="9"/>
        <v>0.01</v>
      </c>
      <c r="F25" s="181" t="b">
        <f t="shared" si="10"/>
        <v>1</v>
      </c>
      <c r="G25" s="183" t="b">
        <f t="shared" si="0"/>
        <v>0</v>
      </c>
      <c r="H25" s="183" t="str">
        <f t="shared" si="11"/>
        <v>FALSE</v>
      </c>
      <c r="I25" s="183" t="str">
        <f t="shared" si="11"/>
        <v>FALSE</v>
      </c>
      <c r="J25" s="28">
        <f>VLOOKUP(A25,'Data - Data Feed Market'!$A$2:$E$29,3,FALSE)</f>
        <v>66.846999999999994</v>
      </c>
      <c r="K25" s="184">
        <f>VLOOKUP(A25,'Data - Data Feed Market'!$A$2:$E$29,4,FALSE)</f>
        <v>66.873999999999995</v>
      </c>
      <c r="L25" s="196">
        <f t="shared" si="1"/>
        <v>9.2935075556216429</v>
      </c>
      <c r="M25" s="175" t="str">
        <f t="shared" si="2"/>
        <v/>
      </c>
      <c r="N25" s="186" t="str">
        <f t="shared" si="3"/>
        <v/>
      </c>
      <c r="O25" s="177" t="str">
        <f t="shared" si="4"/>
        <v>USDJPY</v>
      </c>
      <c r="P25" s="178">
        <f t="shared" si="5"/>
        <v>107.602</v>
      </c>
      <c r="Q25" s="178" t="str">
        <f t="shared" si="12"/>
        <v>ASK</v>
      </c>
      <c r="R25" s="175">
        <f t="shared" si="6"/>
        <v>9.2935075556216429</v>
      </c>
    </row>
    <row r="26" spans="1:18" x14ac:dyDescent="0.3">
      <c r="A26" s="177" t="s">
        <v>24</v>
      </c>
      <c r="B26" s="179" t="str">
        <f t="shared" si="7"/>
        <v>NZD</v>
      </c>
      <c r="C26" s="180" t="str">
        <f t="shared" si="8"/>
        <v>USD</v>
      </c>
      <c r="D26" s="181">
        <v>100000</v>
      </c>
      <c r="E26" s="182">
        <f t="shared" si="9"/>
        <v>1E-4</v>
      </c>
      <c r="F26" s="181" t="b">
        <f t="shared" si="10"/>
        <v>0</v>
      </c>
      <c r="G26" s="183" t="b">
        <f t="shared" si="0"/>
        <v>1</v>
      </c>
      <c r="H26" s="183" t="str">
        <f t="shared" si="11"/>
        <v>FALSE</v>
      </c>
      <c r="I26" s="183" t="str">
        <f t="shared" si="11"/>
        <v>TRUE</v>
      </c>
      <c r="J26" s="28">
        <f>VLOOKUP(A26,'Data - Data Feed Market'!$A$2:$E$29,3,FALSE)</f>
        <v>0.62126000000000003</v>
      </c>
      <c r="K26" s="184">
        <f>VLOOKUP(A26,'Data - Data Feed Market'!$A$2:$E$29,4,FALSE)</f>
        <v>0.62144999999999995</v>
      </c>
      <c r="L26" s="196">
        <f t="shared" si="1"/>
        <v>10</v>
      </c>
      <c r="M26" s="175">
        <f t="shared" si="2"/>
        <v>10</v>
      </c>
      <c r="N26" s="186" t="str">
        <f t="shared" si="3"/>
        <v/>
      </c>
      <c r="O26" s="177" t="str">
        <f t="shared" si="4"/>
        <v/>
      </c>
      <c r="P26" s="178" t="str">
        <f t="shared" si="5"/>
        <v/>
      </c>
      <c r="Q26" s="178" t="str">
        <f t="shared" si="12"/>
        <v/>
      </c>
      <c r="R26" s="175" t="str">
        <f t="shared" si="6"/>
        <v/>
      </c>
    </row>
    <row r="27" spans="1:18" x14ac:dyDescent="0.3">
      <c r="A27" s="177" t="s">
        <v>12</v>
      </c>
      <c r="B27" s="179" t="str">
        <f t="shared" si="7"/>
        <v>USD</v>
      </c>
      <c r="C27" s="180" t="str">
        <f t="shared" si="8"/>
        <v>CAD</v>
      </c>
      <c r="D27" s="181">
        <v>100000</v>
      </c>
      <c r="E27" s="182">
        <f t="shared" si="9"/>
        <v>1E-4</v>
      </c>
      <c r="F27" s="181" t="b">
        <f t="shared" si="10"/>
        <v>0</v>
      </c>
      <c r="G27" s="183" t="b">
        <f t="shared" si="0"/>
        <v>1</v>
      </c>
      <c r="H27" s="183" t="str">
        <f t="shared" si="11"/>
        <v>TRUE</v>
      </c>
      <c r="I27" s="183" t="str">
        <f t="shared" si="11"/>
        <v>FALSE</v>
      </c>
      <c r="J27" s="28">
        <f>VLOOKUP(A27,'Data - Data Feed Market'!$A$2:$E$29,3,FALSE)</f>
        <v>1.3773599999999999</v>
      </c>
      <c r="K27" s="184">
        <f>VLOOKUP(A27,'Data - Data Feed Market'!$A$2:$E$29,4,FALSE)</f>
        <v>1.3775599999999999</v>
      </c>
      <c r="L27" s="196">
        <f t="shared" si="1"/>
        <v>7.2592119399517996</v>
      </c>
      <c r="M27" s="175" t="str">
        <f t="shared" si="2"/>
        <v/>
      </c>
      <c r="N27" s="186">
        <f t="shared" si="3"/>
        <v>7.2592119399517996</v>
      </c>
      <c r="O27" s="177" t="str">
        <f t="shared" si="4"/>
        <v/>
      </c>
      <c r="P27" s="178" t="str">
        <f t="shared" si="5"/>
        <v/>
      </c>
      <c r="Q27" s="178" t="str">
        <f t="shared" si="12"/>
        <v/>
      </c>
      <c r="R27" s="175" t="str">
        <f t="shared" si="6"/>
        <v/>
      </c>
    </row>
    <row r="28" spans="1:18" x14ac:dyDescent="0.3">
      <c r="A28" s="177" t="s">
        <v>27</v>
      </c>
      <c r="B28" s="179" t="str">
        <f t="shared" si="7"/>
        <v>USD</v>
      </c>
      <c r="C28" s="180" t="str">
        <f t="shared" si="8"/>
        <v>CHF</v>
      </c>
      <c r="D28" s="181">
        <v>100000</v>
      </c>
      <c r="E28" s="182">
        <f t="shared" si="9"/>
        <v>1E-4</v>
      </c>
      <c r="F28" s="181" t="b">
        <f t="shared" si="10"/>
        <v>0</v>
      </c>
      <c r="G28" s="183" t="b">
        <f t="shared" si="0"/>
        <v>1</v>
      </c>
      <c r="H28" s="183" t="str">
        <f t="shared" si="11"/>
        <v>TRUE</v>
      </c>
      <c r="I28" s="183" t="str">
        <f t="shared" si="11"/>
        <v>FALSE</v>
      </c>
      <c r="J28" s="28">
        <f>VLOOKUP(A28,'Data - Data Feed Market'!$A$2:$E$29,3,FALSE)</f>
        <v>0.96421000000000001</v>
      </c>
      <c r="K28" s="184">
        <f>VLOOKUP(A28,'Data - Data Feed Market'!$A$2:$E$29,4,FALSE)</f>
        <v>0.96435999999999999</v>
      </c>
      <c r="L28" s="196">
        <f t="shared" si="1"/>
        <v>10.369571529304409</v>
      </c>
      <c r="M28" s="175" t="str">
        <f t="shared" si="2"/>
        <v/>
      </c>
      <c r="N28" s="186">
        <f t="shared" si="3"/>
        <v>10.369571529304409</v>
      </c>
      <c r="O28" s="177" t="str">
        <f t="shared" si="4"/>
        <v/>
      </c>
      <c r="P28" s="178" t="str">
        <f t="shared" si="5"/>
        <v/>
      </c>
      <c r="Q28" s="178" t="str">
        <f t="shared" si="12"/>
        <v/>
      </c>
      <c r="R28" s="175" t="str">
        <f t="shared" si="6"/>
        <v/>
      </c>
    </row>
    <row r="29" spans="1:18" ht="15" thickBot="1" x14ac:dyDescent="0.35">
      <c r="A29" s="177" t="s">
        <v>17</v>
      </c>
      <c r="B29" s="199" t="str">
        <f t="shared" si="7"/>
        <v>USD</v>
      </c>
      <c r="C29" s="200" t="str">
        <f t="shared" si="8"/>
        <v>JPY</v>
      </c>
      <c r="D29" s="201">
        <v>100000</v>
      </c>
      <c r="E29" s="202">
        <f t="shared" si="9"/>
        <v>0.01</v>
      </c>
      <c r="F29" s="201" t="b">
        <f t="shared" si="10"/>
        <v>1</v>
      </c>
      <c r="G29" s="198" t="b">
        <f t="shared" si="0"/>
        <v>1</v>
      </c>
      <c r="H29" s="198" t="str">
        <f t="shared" si="11"/>
        <v>TRUE</v>
      </c>
      <c r="I29" s="198" t="str">
        <f t="shared" si="11"/>
        <v>FALSE</v>
      </c>
      <c r="J29" s="28">
        <f>VLOOKUP(A29,'Data - Data Feed Market'!$A$2:$E$29,3,FALSE)</f>
        <v>107.602</v>
      </c>
      <c r="K29" s="184">
        <f>VLOOKUP(A29,'Data - Data Feed Market'!$A$2:$E$29,4,FALSE)</f>
        <v>107.614</v>
      </c>
      <c r="L29" s="197">
        <f t="shared" si="1"/>
        <v>9.2924712398015128</v>
      </c>
      <c r="M29" s="175" t="str">
        <f t="shared" si="2"/>
        <v/>
      </c>
      <c r="N29" s="186">
        <f t="shared" si="3"/>
        <v>9.2924712398015128</v>
      </c>
      <c r="O29" s="177" t="str">
        <f t="shared" si="4"/>
        <v/>
      </c>
      <c r="P29" s="203" t="str">
        <f t="shared" si="5"/>
        <v/>
      </c>
      <c r="Q29" s="203" t="str">
        <f t="shared" si="12"/>
        <v/>
      </c>
      <c r="R29" s="175" t="str">
        <f t="shared" si="6"/>
        <v/>
      </c>
    </row>
    <row r="30" spans="1:18" s="203" customFormat="1" x14ac:dyDescent="0.3">
      <c r="A30" s="204"/>
      <c r="B30" s="205"/>
      <c r="C30" s="206"/>
      <c r="D30" s="201"/>
      <c r="E30" s="202"/>
      <c r="F30" s="201"/>
      <c r="G30" s="198"/>
      <c r="H30" s="198"/>
      <c r="I30" s="198"/>
      <c r="J30" s="28"/>
      <c r="K30" s="207"/>
      <c r="L30" s="208"/>
      <c r="M30" s="209"/>
      <c r="N30" s="209"/>
      <c r="R30" s="209"/>
    </row>
    <row r="31" spans="1:18" x14ac:dyDescent="0.3">
      <c r="A31" s="187"/>
      <c r="B31" s="188"/>
      <c r="C31" s="189"/>
      <c r="D31" s="181"/>
      <c r="E31" s="182"/>
      <c r="F31" s="181"/>
      <c r="G31" s="183"/>
      <c r="H31" s="183"/>
      <c r="I31" s="183"/>
      <c r="K31" s="184"/>
    </row>
    <row r="32" spans="1:18" x14ac:dyDescent="0.3">
      <c r="A32" s="187"/>
      <c r="B32" s="188"/>
      <c r="C32" s="189"/>
      <c r="D32" s="181"/>
      <c r="E32" s="182"/>
      <c r="F32" s="181"/>
      <c r="G32" s="183"/>
      <c r="H32" s="183"/>
      <c r="I32" s="183"/>
      <c r="K32" s="184"/>
    </row>
    <row r="33" spans="1:11" x14ac:dyDescent="0.3">
      <c r="A33" s="187"/>
      <c r="B33" s="188"/>
      <c r="C33" s="189"/>
      <c r="D33" s="181"/>
      <c r="E33" s="182"/>
      <c r="F33" s="181"/>
      <c r="G33" s="183"/>
      <c r="H33" s="183"/>
      <c r="I33" s="183"/>
      <c r="K33" s="184"/>
    </row>
    <row r="34" spans="1:11" x14ac:dyDescent="0.3">
      <c r="A34" s="187"/>
      <c r="B34" s="188"/>
      <c r="C34" s="189"/>
      <c r="D34" s="181"/>
      <c r="E34" s="182"/>
      <c r="F34" s="181"/>
      <c r="G34" s="183"/>
      <c r="H34" s="183"/>
      <c r="I34" s="183"/>
      <c r="K34" s="184"/>
    </row>
    <row r="35" spans="1:11" x14ac:dyDescent="0.3">
      <c r="A35" s="187"/>
      <c r="B35" s="188"/>
      <c r="C35" s="189"/>
      <c r="D35" s="181"/>
      <c r="E35" s="182"/>
      <c r="F35" s="181"/>
      <c r="G35" s="183"/>
      <c r="H35" s="183"/>
      <c r="I35" s="183"/>
      <c r="K35" s="184"/>
    </row>
    <row r="36" spans="1:11" x14ac:dyDescent="0.3">
      <c r="A36" s="187"/>
      <c r="B36" s="188"/>
      <c r="C36" s="189"/>
      <c r="D36" s="181"/>
      <c r="E36" s="182"/>
      <c r="F36" s="181"/>
      <c r="G36" s="183"/>
      <c r="H36" s="183"/>
      <c r="I36" s="183"/>
      <c r="K36" s="184"/>
    </row>
    <row r="37" spans="1:11" x14ac:dyDescent="0.3">
      <c r="A37" s="187"/>
      <c r="B37" s="188"/>
      <c r="C37" s="189"/>
      <c r="D37" s="181"/>
      <c r="E37" s="182"/>
      <c r="F37" s="181"/>
      <c r="G37" s="183"/>
      <c r="H37" s="183"/>
      <c r="I37" s="183"/>
      <c r="K37" s="184"/>
    </row>
    <row r="38" spans="1:11" x14ac:dyDescent="0.3">
      <c r="A38" s="187"/>
      <c r="B38" s="188"/>
      <c r="C38" s="189"/>
      <c r="D38" s="181"/>
      <c r="E38" s="182"/>
      <c r="F38" s="181"/>
      <c r="G38" s="183"/>
      <c r="H38" s="183"/>
      <c r="I38" s="183"/>
      <c r="K38" s="184"/>
    </row>
    <row r="39" spans="1:11" x14ac:dyDescent="0.3">
      <c r="A39" s="187"/>
      <c r="B39" s="188"/>
      <c r="C39" s="189"/>
      <c r="D39" s="181"/>
      <c r="E39" s="182"/>
      <c r="F39" s="181"/>
      <c r="G39" s="183"/>
      <c r="H39" s="183"/>
      <c r="I39" s="183"/>
      <c r="K39" s="184"/>
    </row>
    <row r="40" spans="1:11" x14ac:dyDescent="0.3">
      <c r="A40" s="187"/>
      <c r="B40" s="188"/>
      <c r="C40" s="189"/>
      <c r="D40" s="181"/>
      <c r="E40" s="182"/>
      <c r="F40" s="181"/>
      <c r="G40" s="183"/>
      <c r="H40" s="183"/>
      <c r="I40" s="183"/>
      <c r="K40" s="184"/>
    </row>
    <row r="41" spans="1:11" x14ac:dyDescent="0.3">
      <c r="A41" s="187"/>
      <c r="B41" s="188"/>
      <c r="C41" s="189"/>
      <c r="D41" s="181"/>
      <c r="E41" s="182"/>
      <c r="F41" s="181"/>
      <c r="G41" s="183"/>
      <c r="H41" s="183"/>
      <c r="I41" s="183"/>
      <c r="K41" s="184"/>
    </row>
    <row r="42" spans="1:11" x14ac:dyDescent="0.3">
      <c r="A42" s="187"/>
      <c r="B42" s="188"/>
      <c r="C42" s="189"/>
      <c r="D42" s="181"/>
      <c r="E42" s="182"/>
      <c r="F42" s="181"/>
      <c r="G42" s="183"/>
      <c r="H42" s="183"/>
      <c r="I42" s="183"/>
      <c r="K42" s="184"/>
    </row>
    <row r="43" spans="1:11" x14ac:dyDescent="0.3">
      <c r="A43" s="187"/>
      <c r="B43" s="188"/>
      <c r="C43" s="189"/>
      <c r="D43" s="181"/>
      <c r="E43" s="182"/>
      <c r="F43" s="181"/>
      <c r="G43" s="183"/>
      <c r="H43" s="183"/>
      <c r="I43" s="183"/>
      <c r="K43" s="184"/>
    </row>
    <row r="44" spans="1:11" x14ac:dyDescent="0.3">
      <c r="A44" s="187"/>
      <c r="B44" s="188"/>
      <c r="C44" s="189"/>
      <c r="D44" s="181"/>
      <c r="E44" s="182"/>
      <c r="F44" s="181"/>
      <c r="G44" s="183"/>
      <c r="H44" s="183"/>
      <c r="I44" s="183"/>
      <c r="K44" s="184"/>
    </row>
    <row r="45" spans="1:11" x14ac:dyDescent="0.3">
      <c r="A45" s="187"/>
      <c r="B45" s="188"/>
      <c r="C45" s="189"/>
      <c r="D45" s="181"/>
      <c r="E45" s="182"/>
      <c r="F45" s="181"/>
      <c r="G45" s="183"/>
      <c r="H45" s="183"/>
      <c r="I45" s="183"/>
      <c r="K45" s="184"/>
    </row>
    <row r="46" spans="1:11" x14ac:dyDescent="0.3">
      <c r="A46" s="187"/>
      <c r="B46" s="188"/>
      <c r="C46" s="189"/>
      <c r="D46" s="181"/>
      <c r="E46" s="182"/>
      <c r="F46" s="181"/>
      <c r="G46" s="183"/>
      <c r="H46" s="183"/>
      <c r="I46" s="183"/>
      <c r="K46" s="184"/>
    </row>
    <row r="47" spans="1:11" x14ac:dyDescent="0.3">
      <c r="A47" s="187"/>
      <c r="B47" s="188"/>
      <c r="C47" s="189"/>
      <c r="D47" s="181"/>
      <c r="E47" s="182"/>
      <c r="F47" s="181"/>
      <c r="G47" s="183"/>
      <c r="H47" s="183"/>
      <c r="I47" s="183"/>
      <c r="K47" s="184"/>
    </row>
    <row r="48" spans="1:11" x14ac:dyDescent="0.3">
      <c r="A48" s="187"/>
      <c r="B48" s="188"/>
      <c r="C48" s="189"/>
      <c r="D48" s="181"/>
      <c r="E48" s="182"/>
      <c r="F48" s="181"/>
      <c r="G48" s="183"/>
      <c r="H48" s="183"/>
      <c r="I48" s="183"/>
      <c r="K48" s="184"/>
    </row>
    <row r="49" spans="1:11" x14ac:dyDescent="0.3">
      <c r="A49" s="187"/>
      <c r="B49" s="188"/>
      <c r="C49" s="189"/>
      <c r="D49" s="181"/>
      <c r="E49" s="182"/>
      <c r="F49" s="181"/>
      <c r="G49" s="183"/>
      <c r="H49" s="183"/>
      <c r="I49" s="183"/>
      <c r="K49" s="184"/>
    </row>
    <row r="50" spans="1:11" x14ac:dyDescent="0.3">
      <c r="A50" s="187"/>
      <c r="B50" s="188"/>
      <c r="C50" s="189"/>
      <c r="D50" s="181"/>
      <c r="E50" s="182"/>
      <c r="F50" s="181"/>
      <c r="G50" s="183"/>
      <c r="H50" s="183"/>
      <c r="I50" s="183"/>
      <c r="K50" s="184"/>
    </row>
    <row r="51" spans="1:11" x14ac:dyDescent="0.3">
      <c r="A51" s="187"/>
      <c r="B51" s="188"/>
      <c r="C51" s="189"/>
      <c r="D51" s="181"/>
      <c r="E51" s="182"/>
      <c r="F51" s="181"/>
      <c r="G51" s="183"/>
      <c r="H51" s="183"/>
      <c r="I51" s="183"/>
      <c r="K51" s="184"/>
    </row>
    <row r="52" spans="1:11" x14ac:dyDescent="0.3">
      <c r="A52" s="187"/>
      <c r="B52" s="188"/>
      <c r="C52" s="189"/>
      <c r="D52" s="181"/>
      <c r="E52" s="182"/>
      <c r="F52" s="181"/>
      <c r="G52" s="183"/>
      <c r="H52" s="183"/>
      <c r="I52" s="183"/>
      <c r="K52" s="184"/>
    </row>
    <row r="53" spans="1:11" x14ac:dyDescent="0.3">
      <c r="A53" s="187"/>
      <c r="B53" s="188"/>
      <c r="C53" s="189"/>
      <c r="D53" s="181"/>
      <c r="E53" s="182"/>
      <c r="F53" s="181"/>
      <c r="G53" s="183"/>
      <c r="H53" s="183"/>
      <c r="I53" s="183"/>
      <c r="K53" s="184"/>
    </row>
    <row r="54" spans="1:11" x14ac:dyDescent="0.3">
      <c r="A54" s="187"/>
      <c r="B54" s="188"/>
      <c r="C54" s="189"/>
      <c r="D54" s="181"/>
      <c r="E54" s="182"/>
      <c r="F54" s="181"/>
      <c r="G54" s="187"/>
      <c r="H54" s="187"/>
      <c r="I54" s="187"/>
      <c r="K54" s="184"/>
    </row>
    <row r="55" spans="1:11" x14ac:dyDescent="0.3">
      <c r="A55" s="187"/>
      <c r="B55" s="188"/>
      <c r="C55" s="189"/>
      <c r="D55" s="181"/>
      <c r="E55" s="182"/>
      <c r="F55" s="181"/>
      <c r="G55" s="183"/>
      <c r="H55" s="183"/>
      <c r="I55" s="183"/>
      <c r="K55" s="184"/>
    </row>
    <row r="56" spans="1:11" x14ac:dyDescent="0.3">
      <c r="A56" s="187"/>
      <c r="B56" s="188"/>
      <c r="C56" s="189"/>
      <c r="D56" s="181"/>
      <c r="E56" s="182"/>
      <c r="F56" s="181"/>
      <c r="G56" s="183"/>
      <c r="H56" s="183"/>
      <c r="I56" s="183"/>
      <c r="K56" s="184"/>
    </row>
    <row r="57" spans="1:11" x14ac:dyDescent="0.3">
      <c r="A57" s="187"/>
      <c r="B57" s="188"/>
      <c r="C57" s="189"/>
      <c r="D57" s="181"/>
      <c r="E57" s="182"/>
      <c r="F57" s="181"/>
      <c r="G57" s="183"/>
      <c r="H57" s="183"/>
      <c r="I57" s="183"/>
      <c r="K57" s="184"/>
    </row>
    <row r="58" spans="1:11" x14ac:dyDescent="0.3">
      <c r="A58" s="187"/>
      <c r="B58" s="188"/>
      <c r="C58" s="189"/>
      <c r="D58" s="181"/>
      <c r="E58" s="182"/>
      <c r="F58" s="181"/>
      <c r="G58" s="183"/>
      <c r="H58" s="183"/>
      <c r="I58" s="183"/>
      <c r="K58" s="184"/>
    </row>
    <row r="59" spans="1:11" x14ac:dyDescent="0.3">
      <c r="A59" s="187"/>
      <c r="B59" s="188"/>
      <c r="C59" s="189"/>
      <c r="D59" s="181"/>
      <c r="E59" s="182"/>
      <c r="F59" s="181"/>
      <c r="G59" s="183"/>
      <c r="H59" s="183"/>
      <c r="I59" s="183"/>
      <c r="K59" s="184"/>
    </row>
    <row r="60" spans="1:11" x14ac:dyDescent="0.3">
      <c r="A60" s="187"/>
      <c r="B60" s="188"/>
      <c r="C60" s="189"/>
      <c r="D60" s="181"/>
      <c r="E60" s="182"/>
      <c r="F60" s="181"/>
      <c r="G60" s="183"/>
      <c r="H60" s="183"/>
      <c r="I60" s="183"/>
      <c r="K60" s="184"/>
    </row>
    <row r="61" spans="1:11" x14ac:dyDescent="0.3">
      <c r="A61" s="187"/>
      <c r="B61" s="188"/>
      <c r="C61" s="189"/>
      <c r="D61" s="181"/>
      <c r="E61" s="182"/>
      <c r="F61" s="181"/>
      <c r="G61" s="183"/>
      <c r="H61" s="183"/>
      <c r="I61" s="183"/>
      <c r="K61" s="184"/>
    </row>
    <row r="62" spans="1:11" x14ac:dyDescent="0.3">
      <c r="A62" s="187"/>
      <c r="B62" s="188"/>
      <c r="C62" s="189"/>
      <c r="D62" s="181"/>
      <c r="E62" s="182"/>
      <c r="F62" s="181"/>
      <c r="G62" s="183"/>
      <c r="H62" s="183"/>
      <c r="I62" s="183"/>
      <c r="K62" s="184"/>
    </row>
    <row r="63" spans="1:11" x14ac:dyDescent="0.3">
      <c r="A63" s="187"/>
      <c r="B63" s="188"/>
      <c r="C63" s="189"/>
      <c r="D63" s="181"/>
      <c r="E63" s="182"/>
      <c r="F63" s="181"/>
      <c r="G63" s="183"/>
      <c r="H63" s="183"/>
      <c r="I63" s="183"/>
      <c r="K63" s="184"/>
    </row>
    <row r="64" spans="1:11" x14ac:dyDescent="0.3">
      <c r="A64" s="187"/>
      <c r="B64" s="188"/>
      <c r="C64" s="189"/>
      <c r="D64" s="181"/>
      <c r="E64" s="182"/>
      <c r="F64" s="181"/>
      <c r="G64" s="183"/>
      <c r="H64" s="183"/>
      <c r="I64" s="183"/>
      <c r="K64" s="184"/>
    </row>
    <row r="65" spans="1:11" x14ac:dyDescent="0.3">
      <c r="A65" s="187"/>
      <c r="B65" s="188"/>
      <c r="C65" s="189"/>
      <c r="D65" s="181"/>
      <c r="E65" s="182"/>
      <c r="F65" s="181"/>
      <c r="G65" s="183"/>
      <c r="H65" s="183"/>
      <c r="I65" s="183"/>
      <c r="K65" s="184"/>
    </row>
    <row r="66" spans="1:11" x14ac:dyDescent="0.3">
      <c r="A66" s="187"/>
      <c r="B66" s="188"/>
      <c r="C66" s="189"/>
      <c r="D66" s="181"/>
      <c r="E66" s="182"/>
      <c r="F66" s="181"/>
      <c r="G66" s="183"/>
      <c r="H66" s="183"/>
      <c r="I66" s="183"/>
      <c r="K66" s="184"/>
    </row>
    <row r="67" spans="1:11" x14ac:dyDescent="0.3">
      <c r="A67" s="187"/>
      <c r="B67" s="188"/>
      <c r="C67" s="189"/>
      <c r="D67" s="181"/>
      <c r="E67" s="182"/>
      <c r="F67" s="181"/>
      <c r="G67" s="183"/>
      <c r="H67" s="183"/>
      <c r="I67" s="183"/>
      <c r="K67" s="184"/>
    </row>
    <row r="68" spans="1:11" x14ac:dyDescent="0.3">
      <c r="A68" s="187"/>
      <c r="B68" s="188"/>
      <c r="C68" s="189"/>
      <c r="D68" s="181"/>
      <c r="E68" s="182"/>
      <c r="F68" s="181"/>
      <c r="G68" s="183"/>
      <c r="H68" s="183"/>
      <c r="I68" s="183"/>
      <c r="K68" s="184"/>
    </row>
    <row r="69" spans="1:11" x14ac:dyDescent="0.3">
      <c r="A69" s="187"/>
      <c r="B69" s="188"/>
      <c r="C69" s="189"/>
      <c r="D69" s="181"/>
      <c r="E69" s="182"/>
      <c r="F69" s="181"/>
      <c r="G69" s="183"/>
      <c r="H69" s="183"/>
      <c r="I69" s="183"/>
      <c r="K69" s="184"/>
    </row>
    <row r="70" spans="1:11" x14ac:dyDescent="0.3">
      <c r="A70" s="187"/>
      <c r="B70" s="188"/>
      <c r="C70" s="189"/>
      <c r="D70" s="181"/>
      <c r="E70" s="182"/>
      <c r="F70" s="181"/>
      <c r="G70" s="183"/>
      <c r="H70" s="183"/>
      <c r="I70" s="183"/>
      <c r="K70" s="184"/>
    </row>
    <row r="71" spans="1:11" x14ac:dyDescent="0.3">
      <c r="A71" s="187"/>
      <c r="B71" s="188"/>
      <c r="C71" s="189"/>
      <c r="D71" s="181"/>
      <c r="E71" s="182"/>
      <c r="F71" s="181"/>
      <c r="G71" s="183"/>
      <c r="H71" s="183"/>
      <c r="I71" s="183"/>
      <c r="K71" s="184"/>
    </row>
    <row r="72" spans="1:11" x14ac:dyDescent="0.3">
      <c r="A72" s="187"/>
      <c r="B72" s="188"/>
      <c r="C72" s="189"/>
      <c r="D72" s="181"/>
      <c r="E72" s="182"/>
      <c r="F72" s="181"/>
      <c r="G72" s="187"/>
      <c r="H72" s="187"/>
      <c r="I72" s="187"/>
      <c r="K72" s="184"/>
    </row>
    <row r="73" spans="1:11" x14ac:dyDescent="0.3">
      <c r="A73" s="187"/>
      <c r="B73" s="188"/>
      <c r="C73" s="189"/>
      <c r="D73" s="181"/>
      <c r="E73" s="182"/>
      <c r="F73" s="181"/>
      <c r="G73" s="187"/>
      <c r="H73" s="187"/>
      <c r="I73" s="187"/>
      <c r="K73" s="184"/>
    </row>
    <row r="74" spans="1:11" x14ac:dyDescent="0.3">
      <c r="A74" s="187"/>
      <c r="B74" s="188"/>
      <c r="C74" s="189"/>
      <c r="D74" s="181"/>
      <c r="E74" s="182"/>
      <c r="F74" s="181"/>
      <c r="G74" s="183"/>
      <c r="H74" s="183"/>
      <c r="I74" s="183"/>
      <c r="K74" s="184"/>
    </row>
    <row r="75" spans="1:11" x14ac:dyDescent="0.3">
      <c r="A75" s="187"/>
      <c r="B75" s="188"/>
      <c r="C75" s="189"/>
      <c r="D75" s="181"/>
      <c r="E75" s="182"/>
      <c r="F75" s="181"/>
      <c r="G75" s="183"/>
      <c r="H75" s="183"/>
      <c r="I75" s="183"/>
      <c r="K75" s="184"/>
    </row>
    <row r="76" spans="1:11" x14ac:dyDescent="0.3">
      <c r="A76" s="187"/>
      <c r="B76" s="188"/>
      <c r="C76" s="189"/>
      <c r="D76" s="181"/>
      <c r="E76" s="182"/>
      <c r="F76" s="181"/>
      <c r="G76" s="183"/>
      <c r="H76" s="183"/>
      <c r="I76" s="183"/>
      <c r="K76" s="184"/>
    </row>
    <row r="77" spans="1:11" x14ac:dyDescent="0.3">
      <c r="A77" s="187"/>
      <c r="B77" s="188"/>
      <c r="C77" s="189"/>
      <c r="D77" s="181"/>
      <c r="E77" s="182"/>
      <c r="F77" s="181"/>
      <c r="G77" s="183"/>
      <c r="H77" s="183"/>
      <c r="I77" s="183"/>
      <c r="K77" s="184"/>
    </row>
    <row r="78" spans="1:11" x14ac:dyDescent="0.3">
      <c r="A78" s="187"/>
      <c r="B78" s="188"/>
      <c r="C78" s="189"/>
      <c r="D78" s="181"/>
      <c r="E78" s="182"/>
      <c r="F78" s="181"/>
      <c r="G78" s="183"/>
      <c r="H78" s="183"/>
      <c r="I78" s="183"/>
      <c r="K78" s="184"/>
    </row>
    <row r="79" spans="1:11" x14ac:dyDescent="0.3">
      <c r="A79" s="187"/>
      <c r="B79" s="188"/>
      <c r="C79" s="189"/>
      <c r="D79" s="181"/>
      <c r="E79" s="182"/>
      <c r="F79" s="181"/>
      <c r="G79" s="183"/>
      <c r="H79" s="183"/>
      <c r="I79" s="183"/>
      <c r="K79" s="184"/>
    </row>
    <row r="80" spans="1:11" x14ac:dyDescent="0.3">
      <c r="A80" s="187"/>
      <c r="B80" s="188"/>
      <c r="C80" s="189"/>
      <c r="D80" s="181"/>
      <c r="E80" s="182"/>
      <c r="F80" s="181"/>
      <c r="G80" s="183"/>
      <c r="H80" s="183"/>
      <c r="I80" s="183"/>
      <c r="K80" s="184"/>
    </row>
    <row r="81" spans="1:11" x14ac:dyDescent="0.3">
      <c r="A81" s="187"/>
      <c r="B81" s="188"/>
      <c r="C81" s="189"/>
      <c r="D81" s="181"/>
      <c r="E81" s="182"/>
      <c r="F81" s="181"/>
      <c r="G81" s="183"/>
      <c r="H81" s="183"/>
      <c r="I81" s="183"/>
      <c r="K81" s="184"/>
    </row>
    <row r="82" spans="1:11" x14ac:dyDescent="0.3">
      <c r="A82" s="187"/>
      <c r="B82" s="188"/>
      <c r="C82" s="189"/>
      <c r="D82" s="181"/>
      <c r="E82" s="182"/>
      <c r="F82" s="181"/>
      <c r="G82" s="183"/>
      <c r="H82" s="183"/>
      <c r="I82" s="183"/>
      <c r="K82" s="184"/>
    </row>
    <row r="83" spans="1:11" x14ac:dyDescent="0.3">
      <c r="A83" s="187"/>
      <c r="B83" s="188"/>
      <c r="C83" s="189"/>
      <c r="D83" s="181"/>
      <c r="E83" s="182"/>
      <c r="F83" s="181"/>
      <c r="G83" s="183"/>
      <c r="H83" s="183"/>
      <c r="I83" s="183"/>
      <c r="K83" s="184"/>
    </row>
    <row r="84" spans="1:11" x14ac:dyDescent="0.3">
      <c r="A84" s="187"/>
      <c r="B84" s="188"/>
      <c r="C84" s="189"/>
      <c r="D84" s="181"/>
      <c r="E84" s="182"/>
      <c r="F84" s="181"/>
      <c r="G84" s="183"/>
      <c r="H84" s="183"/>
      <c r="I84" s="183"/>
      <c r="K84" s="184"/>
    </row>
  </sheetData>
  <mergeCells count="1">
    <mergeCell ref="O1:R1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4969-686D-4D2D-A3E4-1362C89A37A3}">
  <sheetPr codeName="Sheet13"/>
  <dimension ref="A1:J30"/>
  <sheetViews>
    <sheetView workbookViewId="0">
      <selection activeCell="E3" sqref="E3"/>
    </sheetView>
  </sheetViews>
  <sheetFormatPr defaultRowHeight="14.4" x14ac:dyDescent="0.3"/>
  <cols>
    <col min="1" max="2" width="16.44140625" style="4" customWidth="1"/>
    <col min="3" max="4" width="16.44140625" style="29" customWidth="1"/>
    <col min="5" max="9" width="16.44140625" style="4" customWidth="1"/>
    <col min="10" max="10" width="14.6640625" style="4" bestFit="1" customWidth="1"/>
    <col min="11" max="16384" width="8.88671875" style="4"/>
  </cols>
  <sheetData>
    <row r="1" spans="1:10" s="3" customFormat="1" x14ac:dyDescent="0.3">
      <c r="A1" s="16" t="s">
        <v>37</v>
      </c>
      <c r="B1" s="17" t="s">
        <v>42</v>
      </c>
      <c r="C1" s="27" t="s">
        <v>38</v>
      </c>
      <c r="D1" s="27" t="s">
        <v>39</v>
      </c>
      <c r="E1" s="9" t="s">
        <v>45</v>
      </c>
      <c r="F1" s="9" t="s">
        <v>46</v>
      </c>
      <c r="G1" s="9" t="s">
        <v>47</v>
      </c>
      <c r="H1" s="9" t="s">
        <v>5</v>
      </c>
      <c r="I1" s="9" t="s">
        <v>4</v>
      </c>
    </row>
    <row r="2" spans="1:10" x14ac:dyDescent="0.3">
      <c r="A2" s="10" t="s">
        <v>16</v>
      </c>
      <c r="B2" s="13">
        <f>[2]!AUDCAD</f>
        <v>43979.967361111114</v>
      </c>
      <c r="C2" s="28">
        <f>[3]!AUDCAD</f>
        <v>0.91474</v>
      </c>
      <c r="D2" s="28">
        <f>[4]!AUDCAD</f>
        <v>0.91493000000000002</v>
      </c>
      <c r="E2" s="14">
        <f>IF(ISNUMBER(SEARCH("JPY",A2)),((D2-C2)*100),((D2-C2)*10000))</f>
        <v>1.9000000000002348</v>
      </c>
      <c r="F2" s="19">
        <f>IF(ISNUMBER(SEARCH("JPY",A2)),((D2-C2)),((D2-C2)))</f>
        <v>1.9000000000002348E-4</v>
      </c>
      <c r="G2" s="15">
        <f>AVERAGE(C2:D2)</f>
        <v>0.91483500000000006</v>
      </c>
      <c r="H2" s="28">
        <f>[5]!AUDCAD</f>
        <v>0.90776000000000001</v>
      </c>
      <c r="I2" s="28">
        <f>[6]!AUDCAD</f>
        <v>0.91742000000000001</v>
      </c>
      <c r="J2" s="13"/>
    </row>
    <row r="3" spans="1:10" x14ac:dyDescent="0.3">
      <c r="A3" s="10" t="s">
        <v>32</v>
      </c>
      <c r="B3" s="13">
        <f>[2]!AUDCHF</f>
        <v>43979.967361111114</v>
      </c>
      <c r="C3" s="28">
        <f>[3]!AUDCHF</f>
        <v>0.64027999999999996</v>
      </c>
      <c r="D3" s="28">
        <f>[4]!AUDCHF</f>
        <v>0.64054</v>
      </c>
      <c r="E3" s="14">
        <f>IF(ISNUMBER(SEARCH("JPY",A3)),((D3-C3)*100),((D3-C3)*10000))</f>
        <v>2.6000000000003798</v>
      </c>
      <c r="F3" s="19">
        <f t="shared" ref="F3:F29" si="0">IF(ISNUMBER(SEARCH("JPY",A3)),((D3-C3)),((D3-C3)))</f>
        <v>2.6000000000003798E-4</v>
      </c>
      <c r="G3" s="15">
        <f t="shared" ref="G3:G29" si="1">AVERAGE(C3:D3)</f>
        <v>0.64040999999999992</v>
      </c>
      <c r="H3" s="28">
        <f>[5]!AUDCHF</f>
        <v>0.63812000000000002</v>
      </c>
      <c r="I3" s="28">
        <f>[6]!AUDCHF</f>
        <v>0.64454</v>
      </c>
      <c r="J3" s="13"/>
    </row>
    <row r="4" spans="1:10" x14ac:dyDescent="0.3">
      <c r="A4" s="10" t="s">
        <v>23</v>
      </c>
      <c r="B4" s="13">
        <f>[2]!AUDJPY</f>
        <v>43979.967361111114</v>
      </c>
      <c r="C4" s="28">
        <f>[3]!AUDJPY</f>
        <v>71.459999999999994</v>
      </c>
      <c r="D4" s="28">
        <f>[4]!AUDJPY</f>
        <v>71.475999999999999</v>
      </c>
      <c r="E4" s="14">
        <f t="shared" ref="E4:E29" si="2">IF(ISNUMBER(SEARCH("JPY",A4)),((D4-C4)*100),((D4-C4)*10000))</f>
        <v>1.6000000000005343</v>
      </c>
      <c r="F4" s="19">
        <f t="shared" si="0"/>
        <v>1.6000000000005343E-2</v>
      </c>
      <c r="G4" s="15">
        <f t="shared" si="1"/>
        <v>71.467999999999989</v>
      </c>
      <c r="H4" s="28">
        <f>[5]!AUDJPY</f>
        <v>71.007999999999996</v>
      </c>
      <c r="I4" s="28">
        <f>[6]!AUDJPY</f>
        <v>71.771000000000001</v>
      </c>
      <c r="J4" s="13"/>
    </row>
    <row r="5" spans="1:10" x14ac:dyDescent="0.3">
      <c r="A5" s="10" t="s">
        <v>9</v>
      </c>
      <c r="B5" s="13">
        <f>[2]!AUDNZD</f>
        <v>43979.967361111114</v>
      </c>
      <c r="C5" s="28">
        <f>[3]!AUDNZD</f>
        <v>1.0686899999999999</v>
      </c>
      <c r="D5" s="28">
        <f>[4]!AUDNZD</f>
        <v>1.06904</v>
      </c>
      <c r="E5" s="14">
        <f t="shared" si="2"/>
        <v>3.5000000000007248</v>
      </c>
      <c r="F5" s="19">
        <f t="shared" si="0"/>
        <v>3.5000000000007248E-4</v>
      </c>
      <c r="G5" s="15">
        <f t="shared" si="1"/>
        <v>1.068865</v>
      </c>
      <c r="H5" s="28">
        <f>[5]!AUDNZD</f>
        <v>1.0666100000000001</v>
      </c>
      <c r="I5" s="28">
        <f>[6]!AUDNZD</f>
        <v>1.07135</v>
      </c>
      <c r="J5" s="13"/>
    </row>
    <row r="6" spans="1:10" x14ac:dyDescent="0.3">
      <c r="A6" s="10" t="s">
        <v>26</v>
      </c>
      <c r="B6" s="13">
        <f>[2]!AUDUSD</f>
        <v>43979.967361111114</v>
      </c>
      <c r="C6" s="28">
        <f>[3]!AUDUSD</f>
        <v>0.66405000000000003</v>
      </c>
      <c r="D6" s="28">
        <f>[4]!AUDUSD</f>
        <v>0.66420999999999997</v>
      </c>
      <c r="E6" s="14">
        <f t="shared" si="2"/>
        <v>1.5999999999993797</v>
      </c>
      <c r="F6" s="19">
        <f t="shared" si="0"/>
        <v>1.5999999999993797E-4</v>
      </c>
      <c r="G6" s="15">
        <f t="shared" si="1"/>
        <v>0.66413</v>
      </c>
      <c r="H6" s="28">
        <f>[5]!AUDUSD</f>
        <v>0.65878000000000003</v>
      </c>
      <c r="I6" s="28">
        <f>[6]!AUDUSD</f>
        <v>0.66668000000000005</v>
      </c>
      <c r="J6" s="13"/>
    </row>
    <row r="7" spans="1:10" x14ac:dyDescent="0.3">
      <c r="A7" s="10" t="s">
        <v>31</v>
      </c>
      <c r="B7" s="13">
        <f>[2]!CADCHF</f>
        <v>43979.967361111114</v>
      </c>
      <c r="C7" s="28">
        <f>[3]!CADCHF</f>
        <v>0.69994000000000001</v>
      </c>
      <c r="D7" s="28">
        <f>[4]!CADCHF</f>
        <v>0.70016999999999996</v>
      </c>
      <c r="E7" s="14">
        <f t="shared" si="2"/>
        <v>2.2999999999995246</v>
      </c>
      <c r="F7" s="19">
        <f t="shared" si="0"/>
        <v>2.2999999999995246E-4</v>
      </c>
      <c r="G7" s="15">
        <f t="shared" si="1"/>
        <v>0.70005499999999998</v>
      </c>
      <c r="H7" s="28">
        <f>[5]!CADCHF</f>
        <v>0.69923000000000002</v>
      </c>
      <c r="I7" s="28">
        <f>[6]!CADCHF</f>
        <v>0.70530999999999999</v>
      </c>
      <c r="J7" s="13"/>
    </row>
    <row r="8" spans="1:10" x14ac:dyDescent="0.3">
      <c r="A8" s="10" t="s">
        <v>22</v>
      </c>
      <c r="B8" s="13">
        <f>[2]!CADJPY</f>
        <v>43979.967361111114</v>
      </c>
      <c r="C8" s="28">
        <f>[3]!CADJPY</f>
        <v>78.111000000000004</v>
      </c>
      <c r="D8" s="28">
        <f>[4]!CADJPY</f>
        <v>78.13</v>
      </c>
      <c r="E8" s="14">
        <f t="shared" si="2"/>
        <v>1.8999999999991246</v>
      </c>
      <c r="F8" s="19">
        <f t="shared" si="0"/>
        <v>1.8999999999991246E-2</v>
      </c>
      <c r="G8" s="15">
        <f t="shared" si="1"/>
        <v>78.120499999999993</v>
      </c>
      <c r="H8" s="28">
        <f>[5]!CADJPY</f>
        <v>78.031000000000006</v>
      </c>
      <c r="I8" s="28">
        <f>[6]!CADJPY</f>
        <v>78.495999999999995</v>
      </c>
      <c r="J8" s="13"/>
    </row>
    <row r="9" spans="1:10" x14ac:dyDescent="0.3">
      <c r="A9" s="10" t="s">
        <v>21</v>
      </c>
      <c r="B9" s="13">
        <f>[2]!CHFJPY</f>
        <v>43979.967361111114</v>
      </c>
      <c r="C9" s="28">
        <f>[3]!CHFJPY</f>
        <v>111.586</v>
      </c>
      <c r="D9" s="28">
        <f>[4]!CHFJPY</f>
        <v>111.605</v>
      </c>
      <c r="E9" s="14">
        <f t="shared" si="2"/>
        <v>1.9000000000005457</v>
      </c>
      <c r="F9" s="19">
        <f t="shared" si="0"/>
        <v>1.9000000000005457E-2</v>
      </c>
      <c r="G9" s="15">
        <f t="shared" si="1"/>
        <v>111.5955</v>
      </c>
      <c r="H9" s="28">
        <f>[5]!CHFJPY</f>
        <v>110.79600000000001</v>
      </c>
      <c r="I9" s="28">
        <f>[6]!CHFJPY</f>
        <v>111.765</v>
      </c>
      <c r="J9" s="13"/>
    </row>
    <row r="10" spans="1:10" x14ac:dyDescent="0.3">
      <c r="A10" s="10" t="s">
        <v>11</v>
      </c>
      <c r="B10" s="13">
        <f>[2]!EURAUD</f>
        <v>43979.967361111114</v>
      </c>
      <c r="C10" s="28">
        <f>[3]!EURAUD</f>
        <v>1.6671499999999999</v>
      </c>
      <c r="D10" s="28">
        <f>[4]!EURAUD</f>
        <v>1.66743</v>
      </c>
      <c r="E10" s="14">
        <f t="shared" si="2"/>
        <v>2.8000000000005798</v>
      </c>
      <c r="F10" s="19">
        <f t="shared" si="0"/>
        <v>2.8000000000005798E-4</v>
      </c>
      <c r="G10" s="15">
        <f t="shared" si="1"/>
        <v>1.6672899999999999</v>
      </c>
      <c r="H10" s="28">
        <f>[5]!EURAUD</f>
        <v>1.6585300000000001</v>
      </c>
      <c r="I10" s="28">
        <f>[6]!EURAUD</f>
        <v>1.67052</v>
      </c>
      <c r="J10" s="13"/>
    </row>
    <row r="11" spans="1:10" x14ac:dyDescent="0.3">
      <c r="A11" s="10" t="s">
        <v>15</v>
      </c>
      <c r="B11" s="13">
        <f>[2]!EURCAD</f>
        <v>43979.967361111114</v>
      </c>
      <c r="C11" s="28">
        <f>[3]!EURCAD</f>
        <v>1.52515</v>
      </c>
      <c r="D11" s="28">
        <f>[4]!EURCAD</f>
        <v>1.5254399999999999</v>
      </c>
      <c r="E11" s="14">
        <f t="shared" si="2"/>
        <v>2.8999999999990145</v>
      </c>
      <c r="F11" s="19">
        <f t="shared" si="0"/>
        <v>2.8999999999990145E-4</v>
      </c>
      <c r="G11" s="15">
        <f t="shared" si="1"/>
        <v>1.5252949999999998</v>
      </c>
      <c r="H11" s="28">
        <f>[5]!EURCAD</f>
        <v>1.5124899999999999</v>
      </c>
      <c r="I11" s="28">
        <f>[6]!EURCAD</f>
        <v>1.5271999999999999</v>
      </c>
      <c r="J11" s="13"/>
    </row>
    <row r="12" spans="1:10" x14ac:dyDescent="0.3">
      <c r="A12" s="10" t="s">
        <v>30</v>
      </c>
      <c r="B12" s="13">
        <f>[2]!EURCHF</f>
        <v>43979.96597222222</v>
      </c>
      <c r="C12" s="28">
        <f>[3]!EURCHF</f>
        <v>1.06769</v>
      </c>
      <c r="D12" s="28">
        <f>[4]!EURCHF</f>
        <v>1.0678799999999999</v>
      </c>
      <c r="E12" s="14">
        <f t="shared" si="2"/>
        <v>1.8999999999991246</v>
      </c>
      <c r="F12" s="19">
        <f t="shared" si="0"/>
        <v>1.8999999999991246E-4</v>
      </c>
      <c r="G12" s="15">
        <f t="shared" si="1"/>
        <v>1.067785</v>
      </c>
      <c r="H12" s="28">
        <f>[5]!EURCHF</f>
        <v>1.06481</v>
      </c>
      <c r="I12" s="28">
        <f>[6]!EURCHF</f>
        <v>1.0697000000000001</v>
      </c>
      <c r="J12" s="13"/>
    </row>
    <row r="13" spans="1:10" x14ac:dyDescent="0.3">
      <c r="A13" s="10" t="s">
        <v>33</v>
      </c>
      <c r="B13" s="13">
        <f>[2]!EURGBP</f>
        <v>43979.967361111114</v>
      </c>
      <c r="C13" s="28">
        <f>[3]!EURGBP</f>
        <v>0.89866000000000001</v>
      </c>
      <c r="D13" s="28">
        <f>[4]!EURGBP</f>
        <v>0.89885000000000004</v>
      </c>
      <c r="E13" s="14">
        <f t="shared" si="2"/>
        <v>1.9000000000002348</v>
      </c>
      <c r="F13" s="19">
        <f t="shared" si="0"/>
        <v>1.9000000000002348E-4</v>
      </c>
      <c r="G13" s="15">
        <f t="shared" si="1"/>
        <v>0.89875499999999997</v>
      </c>
      <c r="H13" s="28">
        <f>[5]!EURGBP</f>
        <v>0.89627000000000001</v>
      </c>
      <c r="I13" s="28">
        <f>[6]!EURGBP</f>
        <v>0.89934000000000003</v>
      </c>
      <c r="J13" s="13"/>
    </row>
    <row r="14" spans="1:10" x14ac:dyDescent="0.3">
      <c r="A14" s="10" t="s">
        <v>20</v>
      </c>
      <c r="B14" s="13">
        <f>[2]!EURJPY</f>
        <v>43979.967361111114</v>
      </c>
      <c r="C14" s="28">
        <f>[3]!EURJPY</f>
        <v>119.152</v>
      </c>
      <c r="D14" s="28">
        <f>[4]!EURJPY</f>
        <v>119.169</v>
      </c>
      <c r="E14" s="14">
        <f t="shared" si="2"/>
        <v>1.6999999999995907</v>
      </c>
      <c r="F14" s="19">
        <f t="shared" si="0"/>
        <v>1.6999999999995907E-2</v>
      </c>
      <c r="G14" s="15">
        <f t="shared" si="1"/>
        <v>119.1605</v>
      </c>
      <c r="H14" s="28">
        <f>[5]!EURJPY</f>
        <v>118.476</v>
      </c>
      <c r="I14" s="28">
        <f>[6]!EURJPY</f>
        <v>119.38500000000001</v>
      </c>
      <c r="J14" s="13"/>
    </row>
    <row r="15" spans="1:10" x14ac:dyDescent="0.3">
      <c r="A15" s="10" t="s">
        <v>8</v>
      </c>
      <c r="B15" s="13">
        <f>[2]!EURNZD</f>
        <v>43979.967361111114</v>
      </c>
      <c r="C15" s="28">
        <f>[3]!EURNZD</f>
        <v>1.7819199999999999</v>
      </c>
      <c r="D15" s="28">
        <f>[4]!EURNZD</f>
        <v>1.78251</v>
      </c>
      <c r="E15" s="14">
        <f t="shared" si="2"/>
        <v>5.9000000000009045</v>
      </c>
      <c r="F15" s="19">
        <f t="shared" si="0"/>
        <v>5.9000000000009045E-4</v>
      </c>
      <c r="G15" s="15">
        <f t="shared" si="1"/>
        <v>1.7822149999999999</v>
      </c>
      <c r="H15" s="28">
        <f>[5]!EURNZD</f>
        <v>1.7753300000000001</v>
      </c>
      <c r="I15" s="28">
        <f>[6]!EURNZD</f>
        <v>1.78487</v>
      </c>
      <c r="J15" s="13"/>
    </row>
    <row r="16" spans="1:10" x14ac:dyDescent="0.3">
      <c r="A16" s="10" t="s">
        <v>6</v>
      </c>
      <c r="B16" s="13">
        <f>[2]!EURUSD</f>
        <v>43979.967361111114</v>
      </c>
      <c r="C16" s="28">
        <f>[3]!EURUSD</f>
        <v>1.1072599999999999</v>
      </c>
      <c r="D16" s="28">
        <f>[4]!EURUSD</f>
        <v>1.10738</v>
      </c>
      <c r="E16" s="14">
        <f t="shared" si="2"/>
        <v>1.2000000000012001</v>
      </c>
      <c r="F16" s="19">
        <f t="shared" si="0"/>
        <v>1.2000000000012001E-4</v>
      </c>
      <c r="G16" s="15">
        <f t="shared" si="1"/>
        <v>1.1073200000000001</v>
      </c>
      <c r="H16" s="28">
        <f>[5]!EURUSD</f>
        <v>1.0991</v>
      </c>
      <c r="I16" s="28">
        <f>[6]!EURUSD</f>
        <v>1.10931</v>
      </c>
      <c r="J16" s="13"/>
    </row>
    <row r="17" spans="1:10" x14ac:dyDescent="0.3">
      <c r="A17" s="10" t="s">
        <v>10</v>
      </c>
      <c r="B17" s="13">
        <f>[2]!GBPAUD</f>
        <v>43979.967361111114</v>
      </c>
      <c r="C17" s="28">
        <f>[3]!GBPAUD</f>
        <v>1.8548800000000001</v>
      </c>
      <c r="D17" s="28">
        <f>[4]!GBPAUD</f>
        <v>1.85528</v>
      </c>
      <c r="E17" s="14">
        <f t="shared" si="2"/>
        <v>3.9999999999995595</v>
      </c>
      <c r="F17" s="19">
        <f t="shared" si="0"/>
        <v>3.9999999999995595E-4</v>
      </c>
      <c r="G17" s="15">
        <f t="shared" si="1"/>
        <v>1.8550800000000001</v>
      </c>
      <c r="H17" s="28">
        <f>[5]!GBPAUD</f>
        <v>1.8476300000000001</v>
      </c>
      <c r="I17" s="28">
        <f>[6]!GBPAUD</f>
        <v>1.8589199999999999</v>
      </c>
      <c r="J17" s="13"/>
    </row>
    <row r="18" spans="1:10" x14ac:dyDescent="0.3">
      <c r="A18" s="10" t="s">
        <v>14</v>
      </c>
      <c r="B18" s="13">
        <f>[2]!GBPCAD</f>
        <v>43979.967361111114</v>
      </c>
      <c r="C18" s="28">
        <f>[3]!GBPCAD</f>
        <v>1.6968799999999999</v>
      </c>
      <c r="D18" s="28">
        <f>[4]!GBPCAD</f>
        <v>1.6973199999999999</v>
      </c>
      <c r="E18" s="14">
        <f t="shared" si="2"/>
        <v>4.3999999999999595</v>
      </c>
      <c r="F18" s="19">
        <f t="shared" si="0"/>
        <v>4.3999999999999595E-4</v>
      </c>
      <c r="G18" s="15">
        <f t="shared" si="1"/>
        <v>1.6970999999999998</v>
      </c>
      <c r="H18" s="28">
        <f>[5]!GBPCAD</f>
        <v>1.68462</v>
      </c>
      <c r="I18" s="28">
        <f>[6]!GBPCAD</f>
        <v>1.69909</v>
      </c>
      <c r="J18" s="13"/>
    </row>
    <row r="19" spans="1:10" x14ac:dyDescent="0.3">
      <c r="A19" s="10" t="s">
        <v>29</v>
      </c>
      <c r="B19" s="13">
        <f>[2]!GBPCHF</f>
        <v>43979.967361111114</v>
      </c>
      <c r="C19" s="28">
        <f>[3]!GBPCHF</f>
        <v>1.1878299999999999</v>
      </c>
      <c r="D19" s="28">
        <f>[4]!GBPCHF</f>
        <v>1.18818</v>
      </c>
      <c r="E19" s="14">
        <f t="shared" si="2"/>
        <v>3.5000000000007248</v>
      </c>
      <c r="F19" s="19">
        <f t="shared" si="0"/>
        <v>3.5000000000007248E-4</v>
      </c>
      <c r="G19" s="15">
        <f t="shared" si="1"/>
        <v>1.188005</v>
      </c>
      <c r="H19" s="28">
        <f>[5]!GBPCHF</f>
        <v>1.1861299999999999</v>
      </c>
      <c r="I19" s="28">
        <f>[6]!GBPCHF</f>
        <v>1.1921299999999999</v>
      </c>
      <c r="J19" s="13"/>
    </row>
    <row r="20" spans="1:10" x14ac:dyDescent="0.3">
      <c r="A20" s="10" t="s">
        <v>19</v>
      </c>
      <c r="B20" s="13">
        <f>[2]!GBPJPY</f>
        <v>43979.967361111114</v>
      </c>
      <c r="C20" s="28">
        <f>[3]!GBPJPY</f>
        <v>132.56299999999999</v>
      </c>
      <c r="D20" s="28">
        <f>[4]!GBPJPY</f>
        <v>132.59399999999999</v>
      </c>
      <c r="E20" s="14">
        <f t="shared" si="2"/>
        <v>3.1000000000005912</v>
      </c>
      <c r="F20" s="19">
        <f t="shared" si="0"/>
        <v>3.1000000000005912E-2</v>
      </c>
      <c r="G20" s="15">
        <f t="shared" si="1"/>
        <v>132.57849999999999</v>
      </c>
      <c r="H20" s="28">
        <f>[5]!GBPJPY</f>
        <v>131.815</v>
      </c>
      <c r="I20" s="28">
        <f>[6]!GBPJPY</f>
        <v>132.87</v>
      </c>
      <c r="J20" s="13"/>
    </row>
    <row r="21" spans="1:10" x14ac:dyDescent="0.3">
      <c r="A21" s="10" t="s">
        <v>7</v>
      </c>
      <c r="B21" s="13">
        <f>[2]!GBPNZD</f>
        <v>43979.967361111114</v>
      </c>
      <c r="C21" s="28">
        <f>[3]!GBPNZD</f>
        <v>1.9825200000000001</v>
      </c>
      <c r="D21" s="28">
        <f>[4]!GBPNZD</f>
        <v>1.9831799999999999</v>
      </c>
      <c r="E21" s="14">
        <f t="shared" si="2"/>
        <v>6.599999999998829</v>
      </c>
      <c r="F21" s="19">
        <f t="shared" si="0"/>
        <v>6.599999999998829E-4</v>
      </c>
      <c r="G21" s="15">
        <f t="shared" si="1"/>
        <v>1.98285</v>
      </c>
      <c r="H21" s="28">
        <f>[5]!GBPNZD</f>
        <v>1.97746</v>
      </c>
      <c r="I21" s="28">
        <f>[6]!GBPNZD</f>
        <v>1.98573</v>
      </c>
      <c r="J21" s="13"/>
    </row>
    <row r="22" spans="1:10" x14ac:dyDescent="0.3">
      <c r="A22" s="10" t="s">
        <v>25</v>
      </c>
      <c r="B22" s="13">
        <f>[2]!GBPUSD</f>
        <v>43979.967361111114</v>
      </c>
      <c r="C22" s="28">
        <f>[3]!GBPUSD</f>
        <v>1.23193</v>
      </c>
      <c r="D22" s="28">
        <f>[4]!GBPUSD</f>
        <v>1.2321200000000001</v>
      </c>
      <c r="E22" s="14">
        <f t="shared" si="2"/>
        <v>1.9000000000013451</v>
      </c>
      <c r="F22" s="19">
        <f t="shared" si="0"/>
        <v>1.9000000000013451E-4</v>
      </c>
      <c r="G22" s="15">
        <f t="shared" si="1"/>
        <v>1.2320250000000001</v>
      </c>
      <c r="H22" s="28">
        <f>[5]!GBPUSD</f>
        <v>1.2232799999999999</v>
      </c>
      <c r="I22" s="28">
        <f>[6]!GBPUSD</f>
        <v>1.2343500000000001</v>
      </c>
      <c r="J22" s="13"/>
    </row>
    <row r="23" spans="1:10" x14ac:dyDescent="0.3">
      <c r="A23" s="10" t="s">
        <v>13</v>
      </c>
      <c r="B23" s="13">
        <f>[2]!NZDCAD</f>
        <v>43979.967361111114</v>
      </c>
      <c r="C23" s="28">
        <f>[3]!NZDCAD</f>
        <v>0.85572999999999999</v>
      </c>
      <c r="D23" s="28">
        <f>[4]!NZDCAD</f>
        <v>0.85604000000000002</v>
      </c>
      <c r="E23" s="14">
        <f t="shared" si="2"/>
        <v>3.1000000000003247</v>
      </c>
      <c r="F23" s="19">
        <f t="shared" si="0"/>
        <v>3.1000000000003247E-4</v>
      </c>
      <c r="G23" s="15">
        <f t="shared" si="1"/>
        <v>0.85588500000000001</v>
      </c>
      <c r="H23" s="28">
        <f>[5]!NZDCAD</f>
        <v>0.84882000000000002</v>
      </c>
      <c r="I23" s="28">
        <f>[6]!NZDCAD</f>
        <v>0.85696000000000006</v>
      </c>
      <c r="J23" s="13"/>
    </row>
    <row r="24" spans="1:10" x14ac:dyDescent="0.3">
      <c r="A24" s="10" t="s">
        <v>28</v>
      </c>
      <c r="B24" s="13">
        <f>[2]!NZDCHF</f>
        <v>43979.967361111114</v>
      </c>
      <c r="C24" s="28">
        <f>[3]!NZDCHF</f>
        <v>0.59902</v>
      </c>
      <c r="D24" s="28">
        <f>[4]!NZDCHF</f>
        <v>0.59930000000000005</v>
      </c>
      <c r="E24" s="14">
        <f t="shared" si="2"/>
        <v>2.8000000000005798</v>
      </c>
      <c r="F24" s="19">
        <f t="shared" si="0"/>
        <v>2.8000000000005798E-4</v>
      </c>
      <c r="G24" s="15">
        <f t="shared" si="1"/>
        <v>0.59916000000000003</v>
      </c>
      <c r="H24" s="28">
        <f>[5]!NZDCHF</f>
        <v>0.59726000000000001</v>
      </c>
      <c r="I24" s="28">
        <f>[6]!NZDCHF</f>
        <v>0.60204999999999997</v>
      </c>
      <c r="J24" s="13"/>
    </row>
    <row r="25" spans="1:10" x14ac:dyDescent="0.3">
      <c r="A25" s="10" t="s">
        <v>18</v>
      </c>
      <c r="B25" s="13">
        <f>[2]!NZDJPY</f>
        <v>43979.967361111114</v>
      </c>
      <c r="C25" s="28">
        <f>[3]!NZDJPY</f>
        <v>66.846999999999994</v>
      </c>
      <c r="D25" s="28">
        <f>[4]!NZDJPY</f>
        <v>66.873999999999995</v>
      </c>
      <c r="E25" s="14">
        <f t="shared" si="2"/>
        <v>2.7000000000001023</v>
      </c>
      <c r="F25" s="19">
        <f t="shared" si="0"/>
        <v>2.7000000000001023E-2</v>
      </c>
      <c r="G25" s="15">
        <f t="shared" si="1"/>
        <v>66.860500000000002</v>
      </c>
      <c r="H25" s="28">
        <f>[5]!NZDJPY</f>
        <v>66.475999999999999</v>
      </c>
      <c r="I25" s="28">
        <f>[6]!NZDJPY</f>
        <v>67.037999999999997</v>
      </c>
      <c r="J25" s="13"/>
    </row>
    <row r="26" spans="1:10" x14ac:dyDescent="0.3">
      <c r="A26" s="10" t="s">
        <v>24</v>
      </c>
      <c r="B26" s="13">
        <f>[2]!NZDUSD</f>
        <v>43979.967361111114</v>
      </c>
      <c r="C26" s="28">
        <f>[3]!NZDUSD</f>
        <v>0.62126000000000003</v>
      </c>
      <c r="D26" s="28">
        <f>[4]!NZDUSD</f>
        <v>0.62144999999999995</v>
      </c>
      <c r="E26" s="14">
        <f t="shared" si="2"/>
        <v>1.8999999999991246</v>
      </c>
      <c r="F26" s="19">
        <f t="shared" si="0"/>
        <v>1.8999999999991246E-4</v>
      </c>
      <c r="G26" s="15">
        <f t="shared" si="1"/>
        <v>0.62135499999999999</v>
      </c>
      <c r="H26" s="28">
        <f>[5]!NZDUSD</f>
        <v>0.6169</v>
      </c>
      <c r="I26" s="28">
        <f>[6]!NZDUSD</f>
        <v>0.62275999999999998</v>
      </c>
      <c r="J26" s="13"/>
    </row>
    <row r="27" spans="1:10" x14ac:dyDescent="0.3">
      <c r="A27" s="20" t="s">
        <v>12</v>
      </c>
      <c r="B27" s="21">
        <f>[2]!USDCAD</f>
        <v>43979.967361111114</v>
      </c>
      <c r="C27" s="28">
        <f>[3]!USDCAD</f>
        <v>1.3773599999999999</v>
      </c>
      <c r="D27" s="28">
        <f>[4]!USDCAD</f>
        <v>1.3775599999999999</v>
      </c>
      <c r="E27" s="14">
        <f t="shared" si="2"/>
        <v>1.9999999999997797</v>
      </c>
      <c r="F27" s="19">
        <f t="shared" si="0"/>
        <v>1.9999999999997797E-4</v>
      </c>
      <c r="G27" s="15">
        <f t="shared" si="1"/>
        <v>1.3774599999999999</v>
      </c>
      <c r="H27" s="28">
        <f>[5]!USDCAD</f>
        <v>1.37334</v>
      </c>
      <c r="I27" s="28">
        <f>[6]!USDCAD</f>
        <v>1.3789100000000001</v>
      </c>
      <c r="J27" s="13"/>
    </row>
    <row r="28" spans="1:10" x14ac:dyDescent="0.3">
      <c r="A28" s="20" t="s">
        <v>27</v>
      </c>
      <c r="B28" s="21">
        <f>[2]!USDCHF</f>
        <v>43979.966666666667</v>
      </c>
      <c r="C28" s="28">
        <f>[3]!USDCHF</f>
        <v>0.96421000000000001</v>
      </c>
      <c r="D28" s="28">
        <f>[4]!USDCHF</f>
        <v>0.96435999999999999</v>
      </c>
      <c r="E28" s="14">
        <f t="shared" si="2"/>
        <v>1.4999999999998348</v>
      </c>
      <c r="F28" s="19">
        <f t="shared" si="0"/>
        <v>1.4999999999998348E-4</v>
      </c>
      <c r="G28" s="15">
        <f t="shared" si="1"/>
        <v>0.96428500000000006</v>
      </c>
      <c r="H28" s="28">
        <f>[5]!USDCHF</f>
        <v>0.96296000000000004</v>
      </c>
      <c r="I28" s="28">
        <f>[6]!USDCHF</f>
        <v>0.97182000000000002</v>
      </c>
      <c r="J28" s="13"/>
    </row>
    <row r="29" spans="1:10" x14ac:dyDescent="0.3">
      <c r="A29" s="20" t="s">
        <v>17</v>
      </c>
      <c r="B29" s="21">
        <f>[2]!USDJPY</f>
        <v>43979.967361111114</v>
      </c>
      <c r="C29" s="28">
        <f>[3]!USDJPY</f>
        <v>107.602</v>
      </c>
      <c r="D29" s="28">
        <f>[4]!USDJPY</f>
        <v>107.614</v>
      </c>
      <c r="E29" s="14">
        <f t="shared" si="2"/>
        <v>1.2000000000000455</v>
      </c>
      <c r="F29" s="19">
        <f t="shared" si="0"/>
        <v>1.2000000000000455E-2</v>
      </c>
      <c r="G29" s="15">
        <f t="shared" si="1"/>
        <v>107.608</v>
      </c>
      <c r="H29" s="28">
        <f>[5]!USDJPY</f>
        <v>107.56399999999999</v>
      </c>
      <c r="I29" s="28">
        <f>[6]!USDJPY</f>
        <v>107.895</v>
      </c>
      <c r="J29" s="13"/>
    </row>
    <row r="30" spans="1:10" x14ac:dyDescent="0.3">
      <c r="A30" s="1"/>
      <c r="B30" s="1"/>
      <c r="C30" s="19"/>
      <c r="D30" s="19"/>
      <c r="E30" s="1"/>
      <c r="F30" s="1"/>
    </row>
  </sheetData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C1E9B5-1836-436A-B4CA-27A39CDDF0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Market Data</vt:lpstr>
      <vt:lpstr>Calculator</vt:lpstr>
      <vt:lpstr>Data - Data Feed Market</vt:lpstr>
      <vt:lpstr>Data - Pip Values</vt:lpstr>
      <vt:lpstr>Data - DDE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RMS</dc:creator>
  <cp:lastModifiedBy>Ryan Salisbury</cp:lastModifiedBy>
  <cp:lastPrinted>2020-05-17T15:22:46Z</cp:lastPrinted>
  <dcterms:created xsi:type="dcterms:W3CDTF">2015-06-05T18:17:20Z</dcterms:created>
  <dcterms:modified xsi:type="dcterms:W3CDTF">2020-05-28T20:13:54Z</dcterms:modified>
</cp:coreProperties>
</file>