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updateLinks="always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ryanm\Desktop\"/>
    </mc:Choice>
  </mc:AlternateContent>
  <xr:revisionPtr revIDLastSave="0" documentId="13_ncr:1_{4DCB7450-CED8-4E93-9356-E2B0A2DF91E9}" xr6:coauthVersionLast="45" xr6:coauthVersionMax="45" xr10:uidLastSave="{00000000-0000-0000-0000-000000000000}"/>
  <bookViews>
    <workbookView xWindow="-108" yWindow="-108" windowWidth="23256" windowHeight="13176" tabRatio="795" xr2:uid="{00000000-000D-0000-FFFF-FFFF00000000}"/>
  </bookViews>
  <sheets>
    <sheet name="Axiom Market" sheetId="88" r:id="rId1"/>
    <sheet name="Data - Data Feed Market" sheetId="89" r:id="rId2"/>
    <sheet name="Data - DDE" sheetId="81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__MasterList">#REF!</definedName>
    <definedName name="Analytics">#REF!</definedName>
    <definedName name="Category" localSheetId="0">'[1]Data List'!$Q$2:$Q$10</definedName>
    <definedName name="Category">#REF!</definedName>
    <definedName name="Data">#REF!</definedName>
    <definedName name="Indicators">#REF!</definedName>
    <definedName name="Maintenance">#REF!</definedName>
    <definedName name="Sui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9" i="81" l="1"/>
  <c r="I28" i="81"/>
  <c r="I27" i="81"/>
  <c r="I26" i="81"/>
  <c r="I25" i="81"/>
  <c r="I24" i="81"/>
  <c r="I23" i="81"/>
  <c r="I22" i="81"/>
  <c r="I21" i="81"/>
  <c r="I20" i="81"/>
  <c r="I19" i="81"/>
  <c r="I18" i="81"/>
  <c r="I17" i="81"/>
  <c r="I16" i="81"/>
  <c r="I15" i="81"/>
  <c r="I14" i="81"/>
  <c r="I13" i="81"/>
  <c r="I12" i="81"/>
  <c r="I11" i="81"/>
  <c r="I10" i="81"/>
  <c r="I9" i="81"/>
  <c r="I8" i="81"/>
  <c r="I7" i="81"/>
  <c r="I6" i="81"/>
  <c r="I5" i="81"/>
  <c r="I4" i="81"/>
  <c r="I3" i="81"/>
  <c r="I2" i="81"/>
  <c r="H29" i="81"/>
  <c r="H28" i="81"/>
  <c r="H27" i="81"/>
  <c r="H26" i="81"/>
  <c r="H25" i="81"/>
  <c r="H24" i="81"/>
  <c r="H23" i="81"/>
  <c r="H22" i="81"/>
  <c r="H21" i="81"/>
  <c r="H20" i="81"/>
  <c r="H19" i="81"/>
  <c r="H18" i="81"/>
  <c r="H17" i="81"/>
  <c r="H16" i="81"/>
  <c r="H15" i="81"/>
  <c r="H14" i="81"/>
  <c r="H13" i="81"/>
  <c r="H12" i="81"/>
  <c r="H11" i="81"/>
  <c r="H10" i="81"/>
  <c r="H9" i="81"/>
  <c r="H8" i="81"/>
  <c r="H7" i="81"/>
  <c r="H6" i="81"/>
  <c r="H5" i="81"/>
  <c r="H4" i="81"/>
  <c r="H3" i="81"/>
  <c r="H2" i="81"/>
  <c r="J12" i="89" l="1"/>
  <c r="L16" i="88" s="1"/>
  <c r="K12" i="89"/>
  <c r="T16" i="88" s="1"/>
  <c r="K16" i="89"/>
  <c r="T6" i="88" s="1"/>
  <c r="J16" i="89"/>
  <c r="L6" i="88" s="1"/>
  <c r="J26" i="89"/>
  <c r="L12" i="88" s="1"/>
  <c r="K26" i="89"/>
  <c r="T12" i="88" s="1"/>
  <c r="J27" i="89"/>
  <c r="L11" i="88" s="1"/>
  <c r="K7" i="89"/>
  <c r="T33" i="88" s="1"/>
  <c r="J7" i="89"/>
  <c r="L33" i="88" s="1"/>
  <c r="K27" i="89"/>
  <c r="T11" i="88" s="1"/>
  <c r="J24" i="89"/>
  <c r="L32" i="88" s="1"/>
  <c r="K28" i="89"/>
  <c r="T7" i="88" s="1"/>
  <c r="J28" i="89"/>
  <c r="L7" i="88" s="1"/>
  <c r="K24" i="89"/>
  <c r="T32" i="88" s="1"/>
  <c r="K22" i="89"/>
  <c r="T8" i="88" s="1"/>
  <c r="K23" i="89"/>
  <c r="T31" i="88" s="1"/>
  <c r="J18" i="89"/>
  <c r="L19" i="88" s="1"/>
  <c r="J22" i="89"/>
  <c r="L8" i="88" s="1"/>
  <c r="K18" i="89"/>
  <c r="T19" i="88" s="1"/>
  <c r="J23" i="89"/>
  <c r="L31" i="88" s="1"/>
  <c r="K6" i="89"/>
  <c r="T10" i="88" s="1"/>
  <c r="J3" i="89"/>
  <c r="L29" i="88" s="1"/>
  <c r="J11" i="89"/>
  <c r="L15" i="88" s="1"/>
  <c r="J10" i="89"/>
  <c r="L14" i="88" s="1"/>
  <c r="J13" i="89"/>
  <c r="L13" i="88" s="1"/>
  <c r="K10" i="89"/>
  <c r="T14" i="88" s="1"/>
  <c r="J6" i="89"/>
  <c r="L10" i="88" s="1"/>
  <c r="K3" i="89"/>
  <c r="T29" i="88" s="1"/>
  <c r="K11" i="89"/>
  <c r="T15" i="88" s="1"/>
  <c r="K13" i="89"/>
  <c r="T13" i="88" s="1"/>
  <c r="J5" i="89"/>
  <c r="L30" i="88" s="1"/>
  <c r="K5" i="89"/>
  <c r="T30" i="88" s="1"/>
  <c r="J2" i="89"/>
  <c r="L28" i="88" s="1"/>
  <c r="K17" i="89"/>
  <c r="T18" i="88" s="1"/>
  <c r="K2" i="89"/>
  <c r="T28" i="88" s="1"/>
  <c r="J15" i="89"/>
  <c r="L17" i="88" s="1"/>
  <c r="K15" i="89"/>
  <c r="T17" i="88" s="1"/>
  <c r="J17" i="89"/>
  <c r="L18" i="88" s="1"/>
  <c r="J19" i="89"/>
  <c r="L20" i="88" s="1"/>
  <c r="K19" i="89"/>
  <c r="T20" i="88" s="1"/>
  <c r="K14" i="89"/>
  <c r="T22" i="88" s="1"/>
  <c r="J4" i="89"/>
  <c r="L24" i="88" s="1"/>
  <c r="J20" i="89"/>
  <c r="L23" i="88" s="1"/>
  <c r="K8" i="89"/>
  <c r="T26" i="88" s="1"/>
  <c r="J21" i="89"/>
  <c r="L21" i="88" s="1"/>
  <c r="J29" i="89"/>
  <c r="L9" i="88" s="1"/>
  <c r="K25" i="89"/>
  <c r="T25" i="88" s="1"/>
  <c r="J14" i="89"/>
  <c r="L22" i="88" s="1"/>
  <c r="J8" i="89"/>
  <c r="L26" i="88" s="1"/>
  <c r="K4" i="89"/>
  <c r="T24" i="88" s="1"/>
  <c r="K20" i="89"/>
  <c r="T23" i="88" s="1"/>
  <c r="J25" i="89"/>
  <c r="L25" i="88" s="1"/>
  <c r="K21" i="89"/>
  <c r="T21" i="88" s="1"/>
  <c r="K29" i="89"/>
  <c r="T9" i="88" s="1"/>
  <c r="K9" i="89"/>
  <c r="T27" i="88" s="1"/>
  <c r="J9" i="89"/>
  <c r="L27" i="88" s="1"/>
  <c r="P24" i="88" l="1"/>
  <c r="P21" i="88"/>
  <c r="P23" i="88"/>
  <c r="P9" i="88"/>
  <c r="P31" i="88"/>
  <c r="P17" i="88"/>
  <c r="P20" i="88"/>
  <c r="P30" i="88"/>
  <c r="P12" i="88"/>
  <c r="P33" i="88"/>
  <c r="P13" i="88"/>
  <c r="P15" i="88"/>
  <c r="P18" i="88"/>
  <c r="P11" i="88"/>
  <c r="P28" i="88"/>
  <c r="P19" i="88"/>
  <c r="P16" i="88"/>
  <c r="P27" i="88"/>
  <c r="P25" i="88"/>
  <c r="P8" i="88"/>
  <c r="P32" i="88"/>
  <c r="P10" i="88"/>
  <c r="P26" i="88"/>
  <c r="P29" i="88"/>
  <c r="P7" i="88"/>
  <c r="P14" i="88"/>
  <c r="P22" i="88"/>
  <c r="P6" i="88"/>
  <c r="D29" i="81" l="1"/>
  <c r="C29" i="81"/>
  <c r="B29" i="81"/>
  <c r="D28" i="81"/>
  <c r="C28" i="81"/>
  <c r="B28" i="81"/>
  <c r="D27" i="81"/>
  <c r="C27" i="81"/>
  <c r="B27" i="81"/>
  <c r="D26" i="81"/>
  <c r="C26" i="81"/>
  <c r="B26" i="81"/>
  <c r="D25" i="81"/>
  <c r="C25" i="81"/>
  <c r="B25" i="81"/>
  <c r="D24" i="81"/>
  <c r="C24" i="81"/>
  <c r="B24" i="81"/>
  <c r="D23" i="81"/>
  <c r="C23" i="81"/>
  <c r="B23" i="81"/>
  <c r="D22" i="81"/>
  <c r="C22" i="81"/>
  <c r="B22" i="81"/>
  <c r="D21" i="81"/>
  <c r="C21" i="81"/>
  <c r="B21" i="81"/>
  <c r="D20" i="81"/>
  <c r="C20" i="81"/>
  <c r="B20" i="81"/>
  <c r="D19" i="81"/>
  <c r="C19" i="81"/>
  <c r="B19" i="81"/>
  <c r="D18" i="81"/>
  <c r="C18" i="81"/>
  <c r="B18" i="81"/>
  <c r="D17" i="81"/>
  <c r="C17" i="81"/>
  <c r="B17" i="81"/>
  <c r="D16" i="81"/>
  <c r="C16" i="81"/>
  <c r="B16" i="81"/>
  <c r="D15" i="81"/>
  <c r="C15" i="81"/>
  <c r="B15" i="81"/>
  <c r="D14" i="81"/>
  <c r="C14" i="81"/>
  <c r="B14" i="81"/>
  <c r="D13" i="81"/>
  <c r="C13" i="81"/>
  <c r="B13" i="81"/>
  <c r="D12" i="81"/>
  <c r="C12" i="81"/>
  <c r="B12" i="81"/>
  <c r="D11" i="81"/>
  <c r="C11" i="81"/>
  <c r="B11" i="81"/>
  <c r="D10" i="81"/>
  <c r="C10" i="81"/>
  <c r="B10" i="81"/>
  <c r="D9" i="81"/>
  <c r="C9" i="81"/>
  <c r="B9" i="81"/>
  <c r="D8" i="81"/>
  <c r="C8" i="81"/>
  <c r="B8" i="81"/>
  <c r="D7" i="81"/>
  <c r="C7" i="81"/>
  <c r="B7" i="81"/>
  <c r="D6" i="81"/>
  <c r="C6" i="81"/>
  <c r="B6" i="81"/>
  <c r="D5" i="81"/>
  <c r="C5" i="81"/>
  <c r="B5" i="81"/>
  <c r="D4" i="81"/>
  <c r="C4" i="81"/>
  <c r="B4" i="81"/>
  <c r="D3" i="81"/>
  <c r="C3" i="81"/>
  <c r="B3" i="81"/>
  <c r="D2" i="81"/>
  <c r="C2" i="81"/>
  <c r="B2" i="81"/>
  <c r="B4" i="89" l="1"/>
  <c r="W24" i="88" s="1"/>
  <c r="D6" i="89"/>
  <c r="C9" i="89"/>
  <c r="B12" i="89"/>
  <c r="W16" i="88" s="1"/>
  <c r="D14" i="89"/>
  <c r="C17" i="89"/>
  <c r="B20" i="89"/>
  <c r="W23" i="88" s="1"/>
  <c r="D22" i="89"/>
  <c r="C25" i="89"/>
  <c r="B28" i="89"/>
  <c r="W7" i="88" s="1"/>
  <c r="D16" i="89"/>
  <c r="B9" i="89"/>
  <c r="W27" i="88" s="1"/>
  <c r="D19" i="89"/>
  <c r="C12" i="89"/>
  <c r="D25" i="89"/>
  <c r="C7" i="89"/>
  <c r="B10" i="89"/>
  <c r="W14" i="88" s="1"/>
  <c r="D12" i="89"/>
  <c r="C15" i="89"/>
  <c r="B18" i="89"/>
  <c r="W19" i="88" s="1"/>
  <c r="D20" i="89"/>
  <c r="C23" i="89"/>
  <c r="B26" i="89"/>
  <c r="W12" i="88" s="1"/>
  <c r="D28" i="89"/>
  <c r="C3" i="89"/>
  <c r="B14" i="89"/>
  <c r="W22" i="88" s="1"/>
  <c r="C6" i="89"/>
  <c r="C14" i="89"/>
  <c r="B25" i="89"/>
  <c r="W25" i="88" s="1"/>
  <c r="C4" i="89"/>
  <c r="B15" i="89"/>
  <c r="W17" i="88" s="1"/>
  <c r="C20" i="89"/>
  <c r="B2" i="89"/>
  <c r="W28" i="88" s="1"/>
  <c r="B5" i="89"/>
  <c r="W30" i="88" s="1"/>
  <c r="C10" i="89"/>
  <c r="B13" i="89"/>
  <c r="W13" i="88" s="1"/>
  <c r="D15" i="89"/>
  <c r="C18" i="89"/>
  <c r="B21" i="89"/>
  <c r="W21" i="88" s="1"/>
  <c r="D23" i="89"/>
  <c r="C26" i="89"/>
  <c r="B29" i="89"/>
  <c r="W9" i="88" s="1"/>
  <c r="C19" i="89"/>
  <c r="D11" i="89"/>
  <c r="C22" i="89"/>
  <c r="D9" i="89"/>
  <c r="B23" i="89"/>
  <c r="W31" i="88" s="1"/>
  <c r="D4" i="89"/>
  <c r="C2" i="89"/>
  <c r="D7" i="89"/>
  <c r="D2" i="89"/>
  <c r="C5" i="89"/>
  <c r="B8" i="89"/>
  <c r="W26" i="88" s="1"/>
  <c r="D10" i="89"/>
  <c r="C13" i="89"/>
  <c r="B16" i="89"/>
  <c r="W6" i="88" s="1"/>
  <c r="D18" i="89"/>
  <c r="C21" i="89"/>
  <c r="B24" i="89"/>
  <c r="W32" i="88" s="1"/>
  <c r="D26" i="89"/>
  <c r="C29" i="89"/>
  <c r="B6" i="89"/>
  <c r="W10" i="88" s="1"/>
  <c r="C11" i="89"/>
  <c r="E3" i="81"/>
  <c r="D3" i="89"/>
  <c r="B17" i="89"/>
  <c r="W18" i="88" s="1"/>
  <c r="D27" i="89"/>
  <c r="B7" i="89"/>
  <c r="W33" i="88" s="1"/>
  <c r="D17" i="89"/>
  <c r="C28" i="89"/>
  <c r="B3" i="89"/>
  <c r="W29" i="88" s="1"/>
  <c r="D5" i="89"/>
  <c r="C8" i="89"/>
  <c r="B11" i="89"/>
  <c r="W15" i="88" s="1"/>
  <c r="D13" i="89"/>
  <c r="C16" i="89"/>
  <c r="B19" i="89"/>
  <c r="W20" i="88" s="1"/>
  <c r="D21" i="89"/>
  <c r="C24" i="89"/>
  <c r="B27" i="89"/>
  <c r="W11" i="88" s="1"/>
  <c r="D29" i="89"/>
  <c r="D8" i="89"/>
  <c r="B22" i="89"/>
  <c r="W8" i="88" s="1"/>
  <c r="D24" i="89"/>
  <c r="C27" i="89"/>
  <c r="G28" i="81"/>
  <c r="F26" i="81"/>
  <c r="G12" i="81"/>
  <c r="G3" i="81"/>
  <c r="G13" i="81"/>
  <c r="G29" i="81"/>
  <c r="G27" i="81"/>
  <c r="G11" i="81"/>
  <c r="G19" i="81"/>
  <c r="G18" i="81"/>
  <c r="G5" i="81"/>
  <c r="G14" i="81"/>
  <c r="G21" i="81"/>
  <c r="E5" i="81"/>
  <c r="G6" i="81"/>
  <c r="G17" i="81"/>
  <c r="G7" i="81"/>
  <c r="G16" i="81"/>
  <c r="G24" i="81"/>
  <c r="F29" i="81"/>
  <c r="G10" i="81"/>
  <c r="F5" i="81"/>
  <c r="E4" i="81"/>
  <c r="E2" i="81"/>
  <c r="G8" i="81"/>
  <c r="F27" i="81"/>
  <c r="F22" i="81"/>
  <c r="F2" i="81"/>
  <c r="F10" i="81"/>
  <c r="G15" i="81"/>
  <c r="G20" i="81"/>
  <c r="G22" i="81"/>
  <c r="G25" i="81"/>
  <c r="F13" i="81"/>
  <c r="G23" i="81"/>
  <c r="E28" i="81"/>
  <c r="G4" i="81"/>
  <c r="G9" i="81"/>
  <c r="F14" i="81"/>
  <c r="F3" i="81"/>
  <c r="E10" i="81"/>
  <c r="F17" i="81"/>
  <c r="E8" i="81"/>
  <c r="F25" i="81"/>
  <c r="F9" i="81"/>
  <c r="F21" i="81"/>
  <c r="E6" i="81"/>
  <c r="E9" i="81"/>
  <c r="G26" i="81"/>
  <c r="F4" i="81"/>
  <c r="G2" i="81"/>
  <c r="F6" i="81"/>
  <c r="F8" i="81"/>
  <c r="E12" i="81"/>
  <c r="E16" i="81"/>
  <c r="E20" i="81"/>
  <c r="E24" i="81"/>
  <c r="F12" i="81"/>
  <c r="E14" i="81"/>
  <c r="F16" i="81"/>
  <c r="F18" i="81"/>
  <c r="F20" i="81"/>
  <c r="E22" i="81"/>
  <c r="F24" i="81"/>
  <c r="E26" i="81"/>
  <c r="F28" i="81"/>
  <c r="F7" i="81"/>
  <c r="F11" i="81"/>
  <c r="E13" i="81"/>
  <c r="F15" i="81"/>
  <c r="E17" i="81"/>
  <c r="F19" i="81"/>
  <c r="E21" i="81"/>
  <c r="F23" i="81"/>
  <c r="E25" i="81"/>
  <c r="E29" i="81"/>
  <c r="E7" i="81"/>
  <c r="E11" i="81"/>
  <c r="E15" i="81"/>
  <c r="E19" i="81"/>
  <c r="E23" i="81"/>
  <c r="E27" i="81"/>
  <c r="E18" i="81"/>
  <c r="F15" i="88" l="1"/>
  <c r="I11" i="89"/>
  <c r="J28" i="88"/>
  <c r="F2" i="89"/>
  <c r="E2" i="89"/>
  <c r="I28" i="88" s="1"/>
  <c r="F14" i="88"/>
  <c r="I10" i="89"/>
  <c r="J13" i="88"/>
  <c r="F13" i="89"/>
  <c r="E13" i="89"/>
  <c r="I13" i="88" s="1"/>
  <c r="J12" i="88"/>
  <c r="F26" i="89"/>
  <c r="E26" i="89"/>
  <c r="I12" i="88" s="1"/>
  <c r="I5" i="89"/>
  <c r="F30" i="88"/>
  <c r="J24" i="88"/>
  <c r="E4" i="89"/>
  <c r="I24" i="88" s="1"/>
  <c r="F4" i="89"/>
  <c r="J15" i="88"/>
  <c r="F11" i="89"/>
  <c r="E11" i="89"/>
  <c r="I15" i="88" s="1"/>
  <c r="J31" i="88"/>
  <c r="F23" i="89"/>
  <c r="E23" i="89"/>
  <c r="I31" i="88" s="1"/>
  <c r="F23" i="88"/>
  <c r="I20" i="89"/>
  <c r="F22" i="88"/>
  <c r="I14" i="89"/>
  <c r="J7" i="88"/>
  <c r="E28" i="89"/>
  <c r="I7" i="88" s="1"/>
  <c r="F28" i="89"/>
  <c r="F33" i="88"/>
  <c r="I7" i="89"/>
  <c r="J8" i="88"/>
  <c r="F22" i="89"/>
  <c r="E22" i="89"/>
  <c r="I8" i="88" s="1"/>
  <c r="F20" i="88"/>
  <c r="I19" i="89"/>
  <c r="F10" i="88"/>
  <c r="I6" i="89"/>
  <c r="J25" i="88"/>
  <c r="F25" i="89"/>
  <c r="E25" i="89"/>
  <c r="I25" i="88" s="1"/>
  <c r="F32" i="88"/>
  <c r="I24" i="89"/>
  <c r="J32" i="88"/>
  <c r="F24" i="89"/>
  <c r="E24" i="89"/>
  <c r="I32" i="88" s="1"/>
  <c r="I16" i="89"/>
  <c r="F6" i="88"/>
  <c r="J30" i="88"/>
  <c r="F5" i="89"/>
  <c r="E5" i="89"/>
  <c r="I30" i="88" s="1"/>
  <c r="F27" i="88"/>
  <c r="I9" i="89"/>
  <c r="J11" i="88"/>
  <c r="F27" i="89"/>
  <c r="E27" i="89"/>
  <c r="I11" i="88" s="1"/>
  <c r="I21" i="89"/>
  <c r="F21" i="88"/>
  <c r="J14" i="88"/>
  <c r="F10" i="89"/>
  <c r="E10" i="89"/>
  <c r="I14" i="88" s="1"/>
  <c r="J33" i="88"/>
  <c r="F7" i="89"/>
  <c r="E7" i="89"/>
  <c r="I33" i="88" s="1"/>
  <c r="J27" i="88"/>
  <c r="E9" i="89"/>
  <c r="I27" i="88" s="1"/>
  <c r="F9" i="89"/>
  <c r="F19" i="88"/>
  <c r="I18" i="89"/>
  <c r="F24" i="88"/>
  <c r="I4" i="89"/>
  <c r="F31" i="88"/>
  <c r="I23" i="89"/>
  <c r="J16" i="88"/>
  <c r="E12" i="89"/>
  <c r="I16" i="88" s="1"/>
  <c r="F12" i="89"/>
  <c r="F16" i="88"/>
  <c r="I12" i="89"/>
  <c r="F18" i="88"/>
  <c r="I17" i="89"/>
  <c r="J10" i="88"/>
  <c r="F6" i="89"/>
  <c r="E6" i="89"/>
  <c r="I10" i="88" s="1"/>
  <c r="J6" i="88"/>
  <c r="E16" i="89"/>
  <c r="I6" i="88" s="1"/>
  <c r="F16" i="89"/>
  <c r="J26" i="88"/>
  <c r="E8" i="89"/>
  <c r="I26" i="88" s="1"/>
  <c r="F8" i="89"/>
  <c r="J21" i="88"/>
  <c r="E21" i="89"/>
  <c r="I21" i="88" s="1"/>
  <c r="F21" i="89"/>
  <c r="F7" i="88"/>
  <c r="I28" i="89"/>
  <c r="F17" i="88"/>
  <c r="I15" i="89"/>
  <c r="F9" i="88"/>
  <c r="I29" i="89"/>
  <c r="J19" i="88"/>
  <c r="E18" i="89"/>
  <c r="I19" i="88" s="1"/>
  <c r="F18" i="89"/>
  <c r="F28" i="88"/>
  <c r="I2" i="89"/>
  <c r="F8" i="88"/>
  <c r="I22" i="89"/>
  <c r="F12" i="88"/>
  <c r="I26" i="89"/>
  <c r="J17" i="88"/>
  <c r="F15" i="89"/>
  <c r="E15" i="89"/>
  <c r="I17" i="88" s="1"/>
  <c r="F29" i="88"/>
  <c r="I3" i="89"/>
  <c r="J23" i="88"/>
  <c r="E20" i="89"/>
  <c r="I23" i="88" s="1"/>
  <c r="F20" i="89"/>
  <c r="J20" i="88"/>
  <c r="F19" i="89"/>
  <c r="E19" i="89"/>
  <c r="I20" i="88" s="1"/>
  <c r="F25" i="88"/>
  <c r="I25" i="89"/>
  <c r="J22" i="88"/>
  <c r="F14" i="89"/>
  <c r="E14" i="89"/>
  <c r="I22" i="88" s="1"/>
  <c r="F13" i="88"/>
  <c r="I13" i="89"/>
  <c r="F11" i="88"/>
  <c r="I27" i="89"/>
  <c r="J9" i="88"/>
  <c r="F29" i="89"/>
  <c r="E29" i="89"/>
  <c r="I9" i="88" s="1"/>
  <c r="F26" i="88"/>
  <c r="I8" i="89"/>
  <c r="J18" i="88"/>
  <c r="E17" i="89"/>
  <c r="I18" i="88" s="1"/>
  <c r="F17" i="89"/>
  <c r="J29" i="88"/>
  <c r="F3" i="89"/>
  <c r="E3" i="89"/>
  <c r="I29" i="88" s="1"/>
  <c r="G12" i="88" l="1"/>
  <c r="M12" i="88" s="1"/>
  <c r="N12" i="88" s="1"/>
  <c r="O12" i="88" s="1"/>
  <c r="G31" i="88"/>
  <c r="M31" i="88" s="1"/>
  <c r="N31" i="88" s="1"/>
  <c r="O31" i="88" s="1"/>
  <c r="G7" i="88"/>
  <c r="M7" i="88" s="1"/>
  <c r="N7" i="88" s="1"/>
  <c r="O7" i="88" s="1"/>
  <c r="H18" i="88"/>
  <c r="H28" i="88"/>
  <c r="G8" i="88"/>
  <c r="G11" i="88"/>
  <c r="G25" i="88"/>
  <c r="G13" i="88"/>
  <c r="G29" i="88"/>
  <c r="G21" i="88"/>
  <c r="G33" i="88"/>
  <c r="G14" i="88"/>
  <c r="G28" i="88"/>
  <c r="G17" i="88"/>
  <c r="H13" i="88"/>
  <c r="G9" i="88"/>
  <c r="G19" i="88"/>
  <c r="G27" i="88"/>
  <c r="G23" i="88"/>
  <c r="G6" i="88"/>
  <c r="G10" i="88"/>
  <c r="G30" i="88"/>
  <c r="G18" i="88"/>
  <c r="G20" i="88"/>
  <c r="G26" i="88"/>
  <c r="G24" i="88"/>
  <c r="G32" i="88"/>
  <c r="G16" i="88"/>
  <c r="G22" i="88"/>
  <c r="G15" i="88"/>
  <c r="S12" i="88" l="1"/>
  <c r="R12" i="88" s="1"/>
  <c r="Q12" i="88" s="1"/>
  <c r="S31" i="88"/>
  <c r="R31" i="88" s="1"/>
  <c r="Q31" i="88" s="1"/>
  <c r="S7" i="88"/>
  <c r="R7" i="88" s="1"/>
  <c r="Q7" i="88" s="1"/>
  <c r="H6" i="88"/>
  <c r="I36" i="88"/>
  <c r="I37" i="88"/>
  <c r="H22" i="88"/>
  <c r="S16" i="88"/>
  <c r="R16" i="88" s="1"/>
  <c r="Q16" i="88" s="1"/>
  <c r="M16" i="88"/>
  <c r="N16" i="88" s="1"/>
  <c r="O16" i="88" s="1"/>
  <c r="S33" i="88"/>
  <c r="R33" i="88" s="1"/>
  <c r="Q33" i="88" s="1"/>
  <c r="M33" i="88"/>
  <c r="N33" i="88" s="1"/>
  <c r="O33" i="88" s="1"/>
  <c r="M21" i="88"/>
  <c r="N21" i="88" s="1"/>
  <c r="O21" i="88" s="1"/>
  <c r="S21" i="88"/>
  <c r="R21" i="88" s="1"/>
  <c r="Q21" i="88" s="1"/>
  <c r="M27" i="88"/>
  <c r="N27" i="88" s="1"/>
  <c r="O27" i="88" s="1"/>
  <c r="S27" i="88"/>
  <c r="R27" i="88" s="1"/>
  <c r="Q27" i="88" s="1"/>
  <c r="M32" i="88"/>
  <c r="N32" i="88" s="1"/>
  <c r="O32" i="88" s="1"/>
  <c r="S32" i="88"/>
  <c r="R32" i="88" s="1"/>
  <c r="Q32" i="88" s="1"/>
  <c r="S30" i="88"/>
  <c r="R30" i="88" s="1"/>
  <c r="Q30" i="88" s="1"/>
  <c r="M30" i="88"/>
  <c r="N30" i="88" s="1"/>
  <c r="O30" i="88" s="1"/>
  <c r="S19" i="88"/>
  <c r="R19" i="88" s="1"/>
  <c r="Q19" i="88" s="1"/>
  <c r="M19" i="88"/>
  <c r="N19" i="88" s="1"/>
  <c r="O19" i="88" s="1"/>
  <c r="S29" i="88"/>
  <c r="R29" i="88" s="1"/>
  <c r="Q29" i="88" s="1"/>
  <c r="M29" i="88"/>
  <c r="N29" i="88" s="1"/>
  <c r="O29" i="88" s="1"/>
  <c r="M22" i="88"/>
  <c r="N22" i="88" s="1"/>
  <c r="O22" i="88" s="1"/>
  <c r="S22" i="88"/>
  <c r="R22" i="88" s="1"/>
  <c r="Q22" i="88" s="1"/>
  <c r="M24" i="88"/>
  <c r="N24" i="88" s="1"/>
  <c r="O24" i="88" s="1"/>
  <c r="S24" i="88"/>
  <c r="R24" i="88" s="1"/>
  <c r="Q24" i="88" s="1"/>
  <c r="M10" i="88"/>
  <c r="N10" i="88" s="1"/>
  <c r="O10" i="88" s="1"/>
  <c r="S10" i="88"/>
  <c r="R10" i="88" s="1"/>
  <c r="Q10" i="88" s="1"/>
  <c r="M9" i="88"/>
  <c r="N9" i="88" s="1"/>
  <c r="O9" i="88" s="1"/>
  <c r="S9" i="88"/>
  <c r="R9" i="88" s="1"/>
  <c r="Q9" i="88" s="1"/>
  <c r="M13" i="88"/>
  <c r="N13" i="88" s="1"/>
  <c r="O13" i="88" s="1"/>
  <c r="S13" i="88"/>
  <c r="R13" i="88" s="1"/>
  <c r="Q13" i="88" s="1"/>
  <c r="S14" i="88"/>
  <c r="R14" i="88" s="1"/>
  <c r="Q14" i="88" s="1"/>
  <c r="M14" i="88"/>
  <c r="N14" i="88" s="1"/>
  <c r="O14" i="88" s="1"/>
  <c r="S26" i="88"/>
  <c r="R26" i="88" s="1"/>
  <c r="Q26" i="88" s="1"/>
  <c r="M26" i="88"/>
  <c r="N26" i="88" s="1"/>
  <c r="O26" i="88" s="1"/>
  <c r="S6" i="88"/>
  <c r="R6" i="88" s="1"/>
  <c r="Q6" i="88" s="1"/>
  <c r="M6" i="88"/>
  <c r="N6" i="88" s="1"/>
  <c r="O6" i="88" s="1"/>
  <c r="S8" i="88"/>
  <c r="R8" i="88" s="1"/>
  <c r="Q8" i="88" s="1"/>
  <c r="M8" i="88"/>
  <c r="N8" i="88" s="1"/>
  <c r="O8" i="88" s="1"/>
  <c r="S20" i="88"/>
  <c r="R20" i="88" s="1"/>
  <c r="Q20" i="88" s="1"/>
  <c r="M20" i="88"/>
  <c r="N20" i="88" s="1"/>
  <c r="O20" i="88" s="1"/>
  <c r="S17" i="88"/>
  <c r="R17" i="88" s="1"/>
  <c r="Q17" i="88" s="1"/>
  <c r="M17" i="88"/>
  <c r="N17" i="88" s="1"/>
  <c r="O17" i="88" s="1"/>
  <c r="S25" i="88"/>
  <c r="R25" i="88" s="1"/>
  <c r="Q25" i="88" s="1"/>
  <c r="M25" i="88"/>
  <c r="N25" i="88" s="1"/>
  <c r="O25" i="88" s="1"/>
  <c r="M15" i="88"/>
  <c r="N15" i="88" s="1"/>
  <c r="O15" i="88" s="1"/>
  <c r="S15" i="88"/>
  <c r="R15" i="88" s="1"/>
  <c r="Q15" i="88" s="1"/>
  <c r="S18" i="88"/>
  <c r="R18" i="88" s="1"/>
  <c r="Q18" i="88" s="1"/>
  <c r="M18" i="88"/>
  <c r="N18" i="88" s="1"/>
  <c r="O18" i="88" s="1"/>
  <c r="S23" i="88"/>
  <c r="R23" i="88" s="1"/>
  <c r="Q23" i="88" s="1"/>
  <c r="M23" i="88"/>
  <c r="N23" i="88" s="1"/>
  <c r="O23" i="88" s="1"/>
  <c r="S28" i="88"/>
  <c r="R28" i="88" s="1"/>
  <c r="Q28" i="88" s="1"/>
  <c r="M28" i="88"/>
  <c r="N28" i="88" s="1"/>
  <c r="O28" i="88" s="1"/>
  <c r="M11" i="88"/>
  <c r="N11" i="88" s="1"/>
  <c r="O11" i="88" s="1"/>
  <c r="S11" i="88"/>
  <c r="R11" i="88" s="1"/>
  <c r="Q11" i="8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181A1C-EBD7-4703-9FA4-0C9E60607092}" keepAlive="1" name="Query - orders-2400365 demo historical" description="Connection to the 'orders-2400365 demo historical' query in the workbook." type="5" refreshedVersion="6" background="1" saveData="1">
    <dbPr connection="Provider=Microsoft.Mashup.OleDb.1;Data Source=$Workbook$;Location=&quot;orders-2400365 demo historical&quot;;Extended Properties=&quot;&quot;" command="SELECT * FROM [orders-2400365 demo historical]"/>
  </connection>
  <connection id="2" xr16:uid="{8BDC5B7C-721D-4F41-9B5A-3F3B85256038}" keepAlive="1" name="Query - orders-2400365 demo live" description="Connection to the 'orders-2400365 demo live' query in the workbook." type="5" refreshedVersion="6" background="1" saveData="1">
    <dbPr connection="Provider=Microsoft.Mashup.OleDb.1;Data Source=$Workbook$;Location=&quot;orders-2400365 demo live&quot;;Extended Properties=&quot;&quot;" command="SELECT * FROM [orders-2400365 demo live]"/>
  </connection>
  <connection id="3" xr16:uid="{BCE7C8FF-91FD-40BE-BF53-45629915E812}" keepAlive="1" name="Query - orders-4196723 real historical" description="Connection to the 'orders-4196723 real historical' query in the workbook." type="5" refreshedVersion="6" background="1" saveData="1">
    <dbPr connection="Provider=Microsoft.Mashup.OleDb.1;Data Source=$Workbook$;Location=&quot;orders-4196723 real historical&quot;;Extended Properties=&quot;&quot;" command="SELECT * FROM [orders-4196723 real historical]"/>
  </connection>
  <connection id="4" xr16:uid="{7050F54A-B25B-443C-A35D-DE1AB6F4AD89}" keepAlive="1" name="Query - orders-4196723 real live" description="Connection to the 'orders-4196723 real live' query in the workbook." type="5" refreshedVersion="6" background="1" saveData="1">
    <dbPr connection="Provider=Microsoft.Mashup.OleDb.1;Data Source=$Workbook$;Location=&quot;orders-4196723 real live&quot;;Extended Properties=&quot;&quot;" command="SELECT * FROM [orders-4196723 real live]"/>
  </connection>
  <connection id="5" xr16:uid="{65C8A276-3B5E-4A23-AA65-6301E97D553F}" keepAlive="1" name="Query - Pair_Specs_Outputs" description="Connection to the 'Pair_Specs_Outputs' query in the workbook." type="5" refreshedVersion="6" background="1" saveData="1">
    <dbPr connection="Provider=Microsoft.Mashup.OleDb.1;Data Source=$Workbook$;Location=Pair_Specs_Outputs;Extended Properties=&quot;&quot;" command="SELECT * FROM [Pair_Specs_Outputs]"/>
  </connection>
  <connection id="6" xr16:uid="{F4FB86B4-7107-4C77-9389-9B753852AAE7}" keepAlive="1" name="Query - Pair_Specs_Outputs (2)" description="Connection to the 'Pair_Specs_Outputs (2)' query in the workbook." type="5" refreshedVersion="6" background="1" saveData="1">
    <dbPr connection="Provider=Microsoft.Mashup.OleDb.1;Data Source=$Workbook$;Location=&quot;Pair_Specs_Outputs (2)&quot;;Extended Properties=&quot;&quot;" command="SELECT * FROM [Pair_Specs_Outputs (2)]"/>
  </connection>
</connections>
</file>

<file path=xl/sharedStrings.xml><?xml version="1.0" encoding="utf-8"?>
<sst xmlns="http://schemas.openxmlformats.org/spreadsheetml/2006/main" count="128" uniqueCount="55">
  <si>
    <t>JPY</t>
  </si>
  <si>
    <t>USD</t>
  </si>
  <si>
    <t>GBP</t>
  </si>
  <si>
    <t>EUR</t>
  </si>
  <si>
    <t>High</t>
  </si>
  <si>
    <t>Low</t>
  </si>
  <si>
    <t>EURUSD</t>
  </si>
  <si>
    <t>GBPNZD</t>
  </si>
  <si>
    <t>EURNZD</t>
  </si>
  <si>
    <t>AUDNZD</t>
  </si>
  <si>
    <t>GBPAUD</t>
  </si>
  <si>
    <t>EURAUD</t>
  </si>
  <si>
    <t>USDCAD</t>
  </si>
  <si>
    <t>NZDCAD</t>
  </si>
  <si>
    <t>GBPCAD</t>
  </si>
  <si>
    <t>EURCAD</t>
  </si>
  <si>
    <t>AUDCAD</t>
  </si>
  <si>
    <t>USDJPY</t>
  </si>
  <si>
    <t>NZDJPY</t>
  </si>
  <si>
    <t>GBPJPY</t>
  </si>
  <si>
    <t>EURJPY</t>
  </si>
  <si>
    <t>CHFJPY</t>
  </si>
  <si>
    <t>CADJPY</t>
  </si>
  <si>
    <t>AUDJPY</t>
  </si>
  <si>
    <t>NZDUSD</t>
  </si>
  <si>
    <t>GBPUSD</t>
  </si>
  <si>
    <t>AUDUSD</t>
  </si>
  <si>
    <t>USDCHF</t>
  </si>
  <si>
    <t>NZDCHF</t>
  </si>
  <si>
    <t>GBPCHF</t>
  </si>
  <si>
    <t>EURCHF</t>
  </si>
  <si>
    <t>CADCHF</t>
  </si>
  <si>
    <t>AUDCHF</t>
  </si>
  <si>
    <t>EURGBP</t>
  </si>
  <si>
    <t>Other</t>
  </si>
  <si>
    <t>L</t>
  </si>
  <si>
    <t>H</t>
  </si>
  <si>
    <t>Symbol</t>
  </si>
  <si>
    <t>Bid</t>
  </si>
  <si>
    <t>Ask</t>
  </si>
  <si>
    <t>Margin %</t>
  </si>
  <si>
    <t>Spread</t>
  </si>
  <si>
    <t>DateTime</t>
  </si>
  <si>
    <t>SwapShort</t>
  </si>
  <si>
    <t>SwapLong</t>
  </si>
  <si>
    <t>Spread Pips</t>
  </si>
  <si>
    <t>Spread Points</t>
  </si>
  <si>
    <t>Avg Price</t>
  </si>
  <si>
    <t>DDE</t>
  </si>
  <si>
    <t>T/B</t>
  </si>
  <si>
    <t>Filter</t>
  </si>
  <si>
    <t>Distance</t>
  </si>
  <si>
    <t>AVG</t>
  </si>
  <si>
    <t>Rng</t>
  </si>
  <si>
    <t>MT4 DDE Live Market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</si>
</sst>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164" formatCode="0.0"/>
    <numFmt numFmtId="165" formatCode="0.0000"/>
    <numFmt numFmtId="166" formatCode="hh\.mm\.ss"/>
    <numFmt numFmtId="167" formatCode="0.000"/>
    <numFmt numFmtId="168" formatCode="0.00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rgb="FF006100"/>
      <name val="Calibri"/>
      <family val="2"/>
      <scheme val="minor"/>
    </font>
    <font>
      <sz val="8"/>
      <color theme="1"/>
      <name val="Calibri Light"/>
      <family val="2"/>
      <scheme val="major"/>
    </font>
    <font>
      <sz val="1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8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sz val="11"/>
      <color rgb="FF9C0006"/>
      <name val="Calibri"/>
      <family val="2"/>
      <scheme val="minor"/>
    </font>
    <font>
      <sz val="8"/>
      <color rgb="FF9C0006"/>
      <name val="Calibri Light"/>
      <family val="2"/>
      <scheme val="major"/>
    </font>
    <font>
      <sz val="8"/>
      <color rgb="FF006100"/>
      <name val="Calibri Light"/>
      <family val="2"/>
      <scheme val="major"/>
    </font>
    <font>
      <u/>
      <sz val="11"/>
      <color theme="1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sz val="11"/>
      <color rgb="FF9C0006"/>
      <name val="Calibri Light"/>
      <family val="2"/>
      <scheme val="major"/>
    </font>
    <font>
      <sz val="11"/>
      <color rgb="FF006100"/>
      <name val="Calibri Light"/>
      <family val="2"/>
      <scheme val="major"/>
    </font>
    <font>
      <u/>
      <sz val="8"/>
      <color theme="1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CCC"/>
        <bgColor indexed="64"/>
      </patternFill>
    </fill>
    <fill>
      <patternFill patternType="solid">
        <fgColor rgb="FFFFC7CE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1"/>
      </left>
      <right style="thin">
        <color theme="0" tint="-0.249977111117893"/>
      </right>
      <top style="thin">
        <color theme="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1"/>
      </right>
      <top style="thin">
        <color theme="1"/>
      </top>
      <bottom style="thin">
        <color theme="0" tint="-0.249977111117893"/>
      </bottom>
      <diagonal/>
    </border>
    <border>
      <left style="thin">
        <color theme="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0" tint="-0.249977111117893"/>
      </right>
      <top style="thin">
        <color theme="0" tint="-0.249977111117893"/>
      </top>
      <bottom style="thin">
        <color theme="1"/>
      </bottom>
      <diagonal/>
    </border>
    <border>
      <left style="thin">
        <color theme="0" tint="-0.249977111117893"/>
      </left>
      <right style="thin">
        <color theme="1"/>
      </right>
      <top style="thin">
        <color theme="0" tint="-0.249977111117893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1"/>
      </right>
      <top/>
      <bottom style="thin">
        <color theme="0" tint="-0.249977111117893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1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</borders>
  <cellStyleXfs count="4">
    <xf numFmtId="0" fontId="0" fillId="0" borderId="0"/>
    <xf numFmtId="0" fontId="3" fillId="6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8" borderId="0" applyNumberFormat="0" applyBorder="0" applyAlignment="0" applyProtection="0"/>
  </cellStyleXfs>
  <cellXfs count="188">
    <xf numFmtId="0" fontId="0" fillId="0" borderId="0" xfId="0"/>
    <xf numFmtId="0" fontId="2" fillId="0" borderId="0" xfId="0" applyFont="1" applyBorder="1"/>
    <xf numFmtId="0" fontId="2" fillId="3" borderId="0" xfId="0" applyFont="1" applyFill="1" applyBorder="1"/>
    <xf numFmtId="0" fontId="2" fillId="0" borderId="4" xfId="0" applyFont="1" applyBorder="1"/>
    <xf numFmtId="0" fontId="2" fillId="0" borderId="0" xfId="0" applyFont="1"/>
    <xf numFmtId="0" fontId="2" fillId="3" borderId="0" xfId="0" applyFont="1" applyFill="1"/>
    <xf numFmtId="0" fontId="2" fillId="3" borderId="0" xfId="0" applyFont="1" applyFill="1" applyBorder="1" applyAlignment="1">
      <alignment horizontal="center"/>
    </xf>
    <xf numFmtId="0" fontId="2" fillId="3" borderId="4" xfId="0" applyFont="1" applyFill="1" applyBorder="1"/>
    <xf numFmtId="0" fontId="1" fillId="3" borderId="0" xfId="0" applyFont="1" applyFill="1" applyBorder="1"/>
    <xf numFmtId="0" fontId="1" fillId="0" borderId="4" xfId="0" applyFont="1" applyBorder="1"/>
    <xf numFmtId="0" fontId="5" fillId="0" borderId="1" xfId="0" applyNumberFormat="1" applyFont="1" applyFill="1" applyBorder="1"/>
    <xf numFmtId="0" fontId="2" fillId="3" borderId="0" xfId="0" applyFont="1" applyFill="1" applyBorder="1" applyAlignment="1">
      <alignment horizontal="left"/>
    </xf>
    <xf numFmtId="0" fontId="2" fillId="0" borderId="0" xfId="0" applyNumberFormat="1" applyFont="1"/>
    <xf numFmtId="22" fontId="2" fillId="0" borderId="0" xfId="0" applyNumberFormat="1" applyFont="1"/>
    <xf numFmtId="164" fontId="2" fillId="0" borderId="0" xfId="0" applyNumberFormat="1" applyFont="1" applyBorder="1"/>
    <xf numFmtId="165" fontId="2" fillId="0" borderId="0" xfId="0" applyNumberFormat="1" applyFont="1" applyBorder="1"/>
    <xf numFmtId="0" fontId="1" fillId="0" borderId="4" xfId="0" applyNumberFormat="1" applyFont="1" applyBorder="1"/>
    <xf numFmtId="22" fontId="1" fillId="0" borderId="4" xfId="0" applyNumberFormat="1" applyFont="1" applyBorder="1"/>
    <xf numFmtId="165" fontId="5" fillId="0" borderId="0" xfId="0" applyNumberFormat="1" applyFont="1" applyBorder="1"/>
    <xf numFmtId="168" fontId="2" fillId="0" borderId="0" xfId="0" applyNumberFormat="1" applyFont="1" applyBorder="1"/>
    <xf numFmtId="0" fontId="5" fillId="0" borderId="0" xfId="0" applyNumberFormat="1" applyFont="1" applyFill="1" applyBorder="1"/>
    <xf numFmtId="22" fontId="2" fillId="0" borderId="0" xfId="0" applyNumberFormat="1" applyFont="1" applyBorder="1"/>
    <xf numFmtId="0" fontId="2" fillId="3" borderId="0" xfId="0" applyFont="1" applyFill="1" applyAlignment="1">
      <alignment horizontal="center"/>
    </xf>
    <xf numFmtId="0" fontId="1" fillId="0" borderId="4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1" fillId="4" borderId="11" xfId="0" applyFont="1" applyFill="1" applyBorder="1" applyAlignment="1">
      <alignment horizontal="center"/>
    </xf>
    <xf numFmtId="168" fontId="1" fillId="0" borderId="4" xfId="0" applyNumberFormat="1" applyFont="1" applyBorder="1"/>
    <xf numFmtId="168" fontId="5" fillId="0" borderId="0" xfId="0" applyNumberFormat="1" applyFont="1" applyBorder="1"/>
    <xf numFmtId="168" fontId="2" fillId="0" borderId="0" xfId="0" applyNumberFormat="1" applyFont="1"/>
    <xf numFmtId="0" fontId="12" fillId="3" borderId="0" xfId="2" applyFont="1" applyFill="1" applyBorder="1" applyAlignment="1">
      <alignment vertical="center"/>
    </xf>
    <xf numFmtId="0" fontId="12" fillId="3" borderId="0" xfId="2" applyFont="1" applyFill="1" applyBorder="1" applyAlignment="1" applyProtection="1">
      <alignment vertical="top"/>
      <protection locked="0"/>
    </xf>
    <xf numFmtId="0" fontId="1" fillId="3" borderId="0" xfId="0" applyFont="1" applyFill="1" applyAlignment="1">
      <alignment horizontal="right"/>
    </xf>
    <xf numFmtId="0" fontId="1" fillId="3" borderId="0" xfId="0" applyFont="1" applyFill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2" fillId="2" borderId="8" xfId="0" applyNumberFormat="1" applyFont="1" applyFill="1" applyBorder="1" applyAlignment="1">
      <alignment horizontal="center"/>
    </xf>
    <xf numFmtId="0" fontId="2" fillId="3" borderId="0" xfId="2" applyFont="1" applyFill="1" applyBorder="1" applyAlignment="1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horizontal="left"/>
    </xf>
    <xf numFmtId="0" fontId="1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15" fillId="6" borderId="23" xfId="1" applyFont="1" applyBorder="1" applyAlignment="1">
      <alignment horizontal="center" vertical="center"/>
    </xf>
    <xf numFmtId="0" fontId="3" fillId="6" borderId="10" xfId="1" applyBorder="1" applyAlignment="1">
      <alignment horizontal="center" vertical="center"/>
    </xf>
    <xf numFmtId="0" fontId="14" fillId="8" borderId="24" xfId="3" applyFont="1" applyBorder="1" applyAlignment="1">
      <alignment horizontal="center" vertical="center"/>
    </xf>
    <xf numFmtId="0" fontId="9" fillId="8" borderId="10" xfId="3" applyBorder="1" applyAlignment="1">
      <alignment horizontal="center" vertical="center"/>
    </xf>
    <xf numFmtId="0" fontId="2" fillId="3" borderId="0" xfId="0" applyFont="1" applyFill="1" applyAlignment="1">
      <alignment horizontal="right"/>
    </xf>
    <xf numFmtId="0" fontId="2" fillId="3" borderId="0" xfId="0" applyFont="1" applyFill="1" applyAlignment="1">
      <alignment horizontal="right" vertical="center"/>
    </xf>
    <xf numFmtId="0" fontId="2" fillId="3" borderId="0" xfId="0" quotePrefix="1" applyFont="1" applyFill="1"/>
    <xf numFmtId="10" fontId="2" fillId="0" borderId="0" xfId="0" applyNumberFormat="1" applyFont="1" applyFill="1" applyBorder="1" applyAlignment="1">
      <alignment horizontal="left"/>
    </xf>
    <xf numFmtId="10" fontId="2" fillId="3" borderId="0" xfId="0" applyNumberFormat="1" applyFont="1" applyFill="1" applyAlignment="1">
      <alignment horizontal="right"/>
    </xf>
    <xf numFmtId="168" fontId="15" fillId="3" borderId="0" xfId="1" applyNumberFormat="1" applyFont="1" applyFill="1" applyBorder="1" applyAlignment="1"/>
    <xf numFmtId="167" fontId="15" fillId="3" borderId="0" xfId="1" applyNumberFormat="1" applyFont="1" applyFill="1" applyBorder="1" applyAlignment="1"/>
    <xf numFmtId="0" fontId="12" fillId="3" borderId="0" xfId="2" applyFont="1" applyFill="1" applyBorder="1" applyAlignment="1" applyProtection="1">
      <alignment horizontal="left" vertical="top"/>
      <protection locked="0"/>
    </xf>
    <xf numFmtId="0" fontId="2" fillId="3" borderId="0" xfId="2" applyFont="1" applyFill="1" applyBorder="1" applyAlignment="1">
      <alignment horizontal="right"/>
    </xf>
    <xf numFmtId="164" fontId="12" fillId="3" borderId="0" xfId="2" applyNumberFormat="1" applyFont="1" applyFill="1" applyBorder="1" applyAlignment="1" applyProtection="1">
      <alignment vertical="top"/>
      <protection locked="0"/>
    </xf>
    <xf numFmtId="164" fontId="2" fillId="3" borderId="0" xfId="0" applyNumberFormat="1" applyFont="1" applyFill="1" applyAlignment="1">
      <alignment horizontal="center"/>
    </xf>
    <xf numFmtId="164" fontId="4" fillId="3" borderId="0" xfId="0" applyNumberFormat="1" applyFont="1" applyFill="1" applyAlignment="1">
      <alignment horizontal="right"/>
    </xf>
    <xf numFmtId="0" fontId="4" fillId="3" borderId="0" xfId="0" applyFont="1" applyFill="1" applyAlignment="1">
      <alignment horizontal="right"/>
    </xf>
    <xf numFmtId="0" fontId="4" fillId="3" borderId="0" xfId="0" applyFont="1" applyFill="1" applyAlignment="1">
      <alignment horizontal="left"/>
    </xf>
    <xf numFmtId="164" fontId="4" fillId="3" borderId="0" xfId="0" applyNumberFormat="1" applyFont="1" applyFill="1" applyAlignment="1">
      <alignment horizontal="left"/>
    </xf>
    <xf numFmtId="10" fontId="2" fillId="3" borderId="0" xfId="0" applyNumberFormat="1" applyFont="1" applyFill="1" applyAlignment="1">
      <alignment horizontal="left"/>
    </xf>
    <xf numFmtId="0" fontId="8" fillId="3" borderId="0" xfId="0" applyFont="1" applyFill="1" applyAlignment="1">
      <alignment horizontal="left"/>
    </xf>
    <xf numFmtId="164" fontId="8" fillId="3" borderId="0" xfId="0" applyNumberFormat="1" applyFont="1" applyFill="1" applyAlignment="1">
      <alignment horizontal="left"/>
    </xf>
    <xf numFmtId="10" fontId="1" fillId="3" borderId="0" xfId="0" applyNumberFormat="1" applyFont="1" applyFill="1" applyAlignment="1">
      <alignment horizontal="left"/>
    </xf>
    <xf numFmtId="0" fontId="4" fillId="3" borderId="0" xfId="2" applyFont="1" applyFill="1" applyBorder="1" applyAlignment="1">
      <alignment horizontal="left"/>
    </xf>
    <xf numFmtId="164" fontId="4" fillId="3" borderId="0" xfId="2" applyNumberFormat="1" applyFont="1" applyFill="1" applyBorder="1" applyAlignment="1">
      <alignment horizontal="left"/>
    </xf>
    <xf numFmtId="10" fontId="2" fillId="3" borderId="0" xfId="2" applyNumberFormat="1" applyFont="1" applyFill="1" applyBorder="1" applyAlignment="1">
      <alignment horizontal="left"/>
    </xf>
    <xf numFmtId="0" fontId="4" fillId="3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horizontal="left" vertical="center"/>
    </xf>
    <xf numFmtId="10" fontId="2" fillId="3" borderId="0" xfId="0" applyNumberFormat="1" applyFont="1" applyFill="1" applyAlignment="1">
      <alignment horizontal="left" vertical="center"/>
    </xf>
    <xf numFmtId="10" fontId="12" fillId="3" borderId="0" xfId="2" applyNumberFormat="1" applyFont="1" applyFill="1" applyBorder="1" applyAlignment="1" applyProtection="1">
      <alignment horizontal="right" vertical="top"/>
      <protection locked="0"/>
    </xf>
    <xf numFmtId="164" fontId="16" fillId="3" borderId="0" xfId="2" applyNumberFormat="1" applyFont="1" applyFill="1" applyBorder="1" applyAlignment="1" applyProtection="1">
      <alignment horizontal="right" vertical="top"/>
      <protection locked="0"/>
    </xf>
    <xf numFmtId="0" fontId="16" fillId="3" borderId="0" xfId="2" applyFont="1" applyFill="1" applyBorder="1" applyAlignment="1" applyProtection="1">
      <alignment horizontal="right" vertical="top"/>
      <protection locked="0"/>
    </xf>
    <xf numFmtId="10" fontId="15" fillId="0" borderId="0" xfId="1" applyNumberFormat="1" applyFont="1" applyFill="1" applyBorder="1" applyAlignment="1">
      <alignment horizontal="right"/>
    </xf>
    <xf numFmtId="0" fontId="1" fillId="4" borderId="7" xfId="0" applyFont="1" applyFill="1" applyBorder="1"/>
    <xf numFmtId="0" fontId="2" fillId="3" borderId="8" xfId="0" applyFont="1" applyFill="1" applyBorder="1"/>
    <xf numFmtId="168" fontId="15" fillId="3" borderId="8" xfId="1" applyNumberFormat="1" applyFont="1" applyFill="1" applyBorder="1" applyAlignment="1"/>
    <xf numFmtId="1" fontId="2" fillId="2" borderId="5" xfId="0" applyNumberFormat="1" applyFont="1" applyFill="1" applyBorder="1" applyAlignment="1">
      <alignment horizontal="center"/>
    </xf>
    <xf numFmtId="168" fontId="15" fillId="3" borderId="4" xfId="1" applyNumberFormat="1" applyFont="1" applyFill="1" applyBorder="1" applyAlignment="1"/>
    <xf numFmtId="1" fontId="2" fillId="2" borderId="0" xfId="0" applyNumberFormat="1" applyFont="1" applyFill="1" applyBorder="1" applyAlignment="1">
      <alignment horizontal="center"/>
    </xf>
    <xf numFmtId="167" fontId="15" fillId="3" borderId="8" xfId="1" applyNumberFormat="1" applyFont="1" applyFill="1" applyBorder="1" applyAlignment="1"/>
    <xf numFmtId="1" fontId="2" fillId="2" borderId="4" xfId="0" applyNumberFormat="1" applyFont="1" applyFill="1" applyBorder="1" applyAlignment="1">
      <alignment horizontal="center"/>
    </xf>
    <xf numFmtId="167" fontId="15" fillId="3" borderId="4" xfId="1" applyNumberFormat="1" applyFont="1" applyFill="1" applyBorder="1" applyAlignment="1"/>
    <xf numFmtId="164" fontId="1" fillId="3" borderId="8" xfId="0" applyNumberFormat="1" applyFont="1" applyFill="1" applyBorder="1"/>
    <xf numFmtId="164" fontId="15" fillId="3" borderId="30" xfId="1" applyNumberFormat="1" applyFont="1" applyFill="1" applyBorder="1" applyAlignment="1"/>
    <xf numFmtId="164" fontId="15" fillId="3" borderId="0" xfId="1" applyNumberFormat="1" applyFont="1" applyFill="1" applyBorder="1" applyAlignment="1"/>
    <xf numFmtId="164" fontId="15" fillId="3" borderId="23" xfId="1" applyNumberFormat="1" applyFont="1" applyFill="1" applyBorder="1" applyAlignment="1"/>
    <xf numFmtId="0" fontId="8" fillId="4" borderId="14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right"/>
    </xf>
    <xf numFmtId="0" fontId="8" fillId="4" borderId="14" xfId="0" applyFont="1" applyFill="1" applyBorder="1"/>
    <xf numFmtId="0" fontId="8" fillId="4" borderId="14" xfId="0" applyFont="1" applyFill="1" applyBorder="1" applyAlignment="1">
      <alignment horizontal="right"/>
    </xf>
    <xf numFmtId="10" fontId="2" fillId="0" borderId="8" xfId="0" applyNumberFormat="1" applyFont="1" applyFill="1" applyBorder="1" applyAlignment="1">
      <alignment horizontal="left"/>
    </xf>
    <xf numFmtId="10" fontId="15" fillId="0" borderId="8" xfId="1" applyNumberFormat="1" applyFont="1" applyFill="1" applyBorder="1" applyAlignment="1">
      <alignment horizontal="right"/>
    </xf>
    <xf numFmtId="10" fontId="2" fillId="0" borderId="4" xfId="0" applyNumberFormat="1" applyFont="1" applyFill="1" applyBorder="1" applyAlignment="1">
      <alignment horizontal="left"/>
    </xf>
    <xf numFmtId="10" fontId="15" fillId="0" borderId="4" xfId="1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left"/>
    </xf>
    <xf numFmtId="164" fontId="7" fillId="0" borderId="8" xfId="0" applyNumberFormat="1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164" fontId="7" fillId="0" borderId="0" xfId="0" applyNumberFormat="1" applyFont="1" applyFill="1" applyBorder="1" applyAlignment="1">
      <alignment horizontal="left"/>
    </xf>
    <xf numFmtId="167" fontId="7" fillId="0" borderId="1" xfId="0" applyNumberFormat="1" applyFont="1" applyFill="1" applyBorder="1" applyAlignment="1">
      <alignment horizontal="left"/>
    </xf>
    <xf numFmtId="0" fontId="7" fillId="0" borderId="5" xfId="0" applyFont="1" applyFill="1" applyBorder="1" applyAlignment="1">
      <alignment horizontal="left"/>
    </xf>
    <xf numFmtId="164" fontId="7" fillId="0" borderId="4" xfId="0" applyNumberFormat="1" applyFont="1" applyFill="1" applyBorder="1" applyAlignment="1">
      <alignment horizontal="left"/>
    </xf>
    <xf numFmtId="0" fontId="7" fillId="0" borderId="25" xfId="0" applyFont="1" applyFill="1" applyBorder="1" applyAlignment="1">
      <alignment horizontal="left"/>
    </xf>
    <xf numFmtId="167" fontId="7" fillId="0" borderId="25" xfId="0" applyNumberFormat="1" applyFont="1" applyFill="1" applyBorder="1" applyAlignment="1">
      <alignment horizontal="left"/>
    </xf>
    <xf numFmtId="164" fontId="7" fillId="0" borderId="8" xfId="1" applyNumberFormat="1" applyFont="1" applyFill="1" applyBorder="1" applyAlignment="1">
      <alignment horizontal="right"/>
    </xf>
    <xf numFmtId="168" fontId="7" fillId="0" borderId="9" xfId="1" applyNumberFormat="1" applyFont="1" applyFill="1" applyBorder="1" applyAlignment="1">
      <alignment horizontal="right"/>
    </xf>
    <xf numFmtId="164" fontId="7" fillId="0" borderId="0" xfId="1" applyNumberFormat="1" applyFont="1" applyFill="1" applyBorder="1" applyAlignment="1">
      <alignment horizontal="right"/>
    </xf>
    <xf numFmtId="168" fontId="7" fillId="0" borderId="2" xfId="1" applyNumberFormat="1" applyFont="1" applyFill="1" applyBorder="1" applyAlignment="1">
      <alignment horizontal="right"/>
    </xf>
    <xf numFmtId="167" fontId="7" fillId="0" borderId="2" xfId="1" applyNumberFormat="1" applyFont="1" applyFill="1" applyBorder="1" applyAlignment="1">
      <alignment horizontal="right"/>
    </xf>
    <xf numFmtId="164" fontId="7" fillId="0" borderId="4" xfId="1" applyNumberFormat="1" applyFont="1" applyFill="1" applyBorder="1" applyAlignment="1">
      <alignment horizontal="right"/>
    </xf>
    <xf numFmtId="168" fontId="7" fillId="0" borderId="6" xfId="1" applyNumberFormat="1" applyFont="1" applyFill="1" applyBorder="1" applyAlignment="1">
      <alignment horizontal="right"/>
    </xf>
    <xf numFmtId="168" fontId="7" fillId="0" borderId="26" xfId="1" applyNumberFormat="1" applyFont="1" applyFill="1" applyBorder="1" applyAlignment="1">
      <alignment horizontal="right"/>
    </xf>
    <xf numFmtId="167" fontId="7" fillId="0" borderId="26" xfId="1" applyNumberFormat="1" applyFont="1" applyFill="1" applyBorder="1" applyAlignment="1">
      <alignment horizontal="right"/>
    </xf>
    <xf numFmtId="164" fontId="4" fillId="3" borderId="0" xfId="0" applyNumberFormat="1" applyFont="1" applyFill="1" applyAlignment="1">
      <alignment horizontal="center"/>
    </xf>
    <xf numFmtId="164" fontId="16" fillId="3" borderId="0" xfId="2" applyNumberFormat="1" applyFont="1" applyFill="1" applyBorder="1" applyAlignment="1" applyProtection="1">
      <alignment horizontal="center" vertical="top"/>
      <protection locked="0"/>
    </xf>
    <xf numFmtId="164" fontId="4" fillId="0" borderId="0" xfId="1" applyNumberFormat="1" applyFont="1" applyFill="1" applyBorder="1" applyAlignment="1">
      <alignment horizontal="center"/>
    </xf>
    <xf numFmtId="164" fontId="8" fillId="4" borderId="3" xfId="0" applyNumberFormat="1" applyFont="1" applyFill="1" applyBorder="1" applyAlignment="1">
      <alignment horizontal="center"/>
    </xf>
    <xf numFmtId="164" fontId="4" fillId="0" borderId="4" xfId="1" applyNumberFormat="1" applyFont="1" applyFill="1" applyBorder="1" applyAlignment="1">
      <alignment horizontal="center"/>
    </xf>
    <xf numFmtId="168" fontId="15" fillId="0" borderId="15" xfId="1" applyNumberFormat="1" applyFont="1" applyFill="1" applyBorder="1" applyAlignment="1"/>
    <xf numFmtId="164" fontId="2" fillId="0" borderId="15" xfId="0" applyNumberFormat="1" applyFont="1" applyBorder="1" applyAlignment="1">
      <alignment horizontal="center"/>
    </xf>
    <xf numFmtId="168" fontId="11" fillId="6" borderId="17" xfId="1" applyNumberFormat="1" applyFont="1" applyBorder="1" applyAlignment="1">
      <alignment horizontal="left"/>
    </xf>
    <xf numFmtId="168" fontId="15" fillId="0" borderId="33" xfId="1" applyNumberFormat="1" applyFont="1" applyFill="1" applyBorder="1" applyAlignment="1"/>
    <xf numFmtId="164" fontId="2" fillId="0" borderId="33" xfId="0" applyNumberFormat="1" applyFont="1" applyBorder="1" applyAlignment="1">
      <alignment horizontal="center"/>
    </xf>
    <xf numFmtId="168" fontId="10" fillId="7" borderId="18" xfId="3" applyNumberFormat="1" applyFont="1" applyFill="1" applyBorder="1" applyAlignment="1">
      <alignment horizontal="right"/>
    </xf>
    <xf numFmtId="168" fontId="11" fillId="6" borderId="19" xfId="1" applyNumberFormat="1" applyFont="1" applyBorder="1" applyAlignment="1">
      <alignment horizontal="left"/>
    </xf>
    <xf numFmtId="168" fontId="10" fillId="7" borderId="20" xfId="3" applyNumberFormat="1" applyFont="1" applyFill="1" applyBorder="1" applyAlignment="1">
      <alignment horizontal="right"/>
    </xf>
    <xf numFmtId="167" fontId="11" fillId="6" borderId="19" xfId="1" applyNumberFormat="1" applyFont="1" applyBorder="1" applyAlignment="1">
      <alignment horizontal="left"/>
    </xf>
    <xf numFmtId="167" fontId="10" fillId="7" borderId="20" xfId="3" applyNumberFormat="1" applyFont="1" applyFill="1" applyBorder="1" applyAlignment="1">
      <alignment horizontal="right"/>
    </xf>
    <xf numFmtId="168" fontId="11" fillId="6" borderId="21" xfId="1" applyNumberFormat="1" applyFont="1" applyBorder="1" applyAlignment="1">
      <alignment horizontal="left"/>
    </xf>
    <xf numFmtId="168" fontId="15" fillId="0" borderId="34" xfId="1" applyNumberFormat="1" applyFont="1" applyFill="1" applyBorder="1" applyAlignment="1"/>
    <xf numFmtId="164" fontId="2" fillId="0" borderId="34" xfId="0" applyNumberFormat="1" applyFont="1" applyBorder="1" applyAlignment="1">
      <alignment horizontal="center"/>
    </xf>
    <xf numFmtId="168" fontId="10" fillId="7" borderId="22" xfId="3" applyNumberFormat="1" applyFont="1" applyFill="1" applyBorder="1" applyAlignment="1">
      <alignment horizontal="right"/>
    </xf>
    <xf numFmtId="168" fontId="11" fillId="6" borderId="31" xfId="1" applyNumberFormat="1" applyFont="1" applyBorder="1" applyAlignment="1">
      <alignment horizontal="left"/>
    </xf>
    <xf numFmtId="168" fontId="15" fillId="0" borderId="35" xfId="1" applyNumberFormat="1" applyFont="1" applyFill="1" applyBorder="1" applyAlignment="1"/>
    <xf numFmtId="164" fontId="2" fillId="0" borderId="35" xfId="0" applyNumberFormat="1" applyFont="1" applyBorder="1" applyAlignment="1">
      <alignment horizontal="center"/>
    </xf>
    <xf numFmtId="168" fontId="10" fillId="7" borderId="32" xfId="3" applyNumberFormat="1" applyFont="1" applyFill="1" applyBorder="1" applyAlignment="1">
      <alignment horizontal="right"/>
    </xf>
    <xf numFmtId="168" fontId="11" fillId="6" borderId="28" xfId="1" applyNumberFormat="1" applyFont="1" applyBorder="1" applyAlignment="1">
      <alignment horizontal="left"/>
    </xf>
    <xf numFmtId="168" fontId="15" fillId="0" borderId="16" xfId="1" applyNumberFormat="1" applyFont="1" applyFill="1" applyBorder="1" applyAlignment="1"/>
    <xf numFmtId="164" fontId="2" fillId="0" borderId="16" xfId="0" applyNumberFormat="1" applyFont="1" applyBorder="1" applyAlignment="1">
      <alignment horizontal="center"/>
    </xf>
    <xf numFmtId="168" fontId="10" fillId="7" borderId="29" xfId="3" applyNumberFormat="1" applyFont="1" applyFill="1" applyBorder="1" applyAlignment="1">
      <alignment horizontal="right"/>
    </xf>
    <xf numFmtId="167" fontId="11" fillId="6" borderId="17" xfId="1" applyNumberFormat="1" applyFont="1" applyBorder="1" applyAlignment="1">
      <alignment horizontal="left"/>
    </xf>
    <xf numFmtId="167" fontId="10" fillId="7" borderId="18" xfId="3" applyNumberFormat="1" applyFont="1" applyFill="1" applyBorder="1" applyAlignment="1">
      <alignment horizontal="right"/>
    </xf>
    <xf numFmtId="167" fontId="11" fillId="6" borderId="21" xfId="1" applyNumberFormat="1" applyFont="1" applyBorder="1" applyAlignment="1">
      <alignment horizontal="left"/>
    </xf>
    <xf numFmtId="167" fontId="10" fillId="7" borderId="22" xfId="3" applyNumberFormat="1" applyFont="1" applyFill="1" applyBorder="1" applyAlignment="1">
      <alignment horizontal="right"/>
    </xf>
    <xf numFmtId="0" fontId="1" fillId="4" borderId="27" xfId="0" applyFont="1" applyFill="1" applyBorder="1"/>
    <xf numFmtId="0" fontId="2" fillId="2" borderId="36" xfId="0" applyFont="1" applyFill="1" applyBorder="1"/>
    <xf numFmtId="0" fontId="2" fillId="2" borderId="37" xfId="0" applyFont="1" applyFill="1" applyBorder="1"/>
    <xf numFmtId="0" fontId="2" fillId="2" borderId="37" xfId="0" applyFont="1" applyFill="1" applyBorder="1" applyAlignment="1">
      <alignment horizontal="left"/>
    </xf>
    <xf numFmtId="0" fontId="2" fillId="2" borderId="38" xfId="0" applyFont="1" applyFill="1" applyBorder="1"/>
    <xf numFmtId="0" fontId="2" fillId="2" borderId="39" xfId="0" applyFont="1" applyFill="1" applyBorder="1"/>
    <xf numFmtId="22" fontId="8" fillId="4" borderId="14" xfId="0" applyNumberFormat="1" applyFont="1" applyFill="1" applyBorder="1"/>
    <xf numFmtId="10" fontId="4" fillId="0" borderId="40" xfId="0" applyNumberFormat="1" applyFont="1" applyBorder="1"/>
    <xf numFmtId="19" fontId="4" fillId="2" borderId="18" xfId="0" applyNumberFormat="1" applyFont="1" applyFill="1" applyBorder="1"/>
    <xf numFmtId="10" fontId="4" fillId="0" borderId="25" xfId="0" applyNumberFormat="1" applyFont="1" applyBorder="1"/>
    <xf numFmtId="19" fontId="4" fillId="2" borderId="20" xfId="0" applyNumberFormat="1" applyFont="1" applyFill="1" applyBorder="1"/>
    <xf numFmtId="10" fontId="4" fillId="0" borderId="41" xfId="0" applyNumberFormat="1" applyFont="1" applyBorder="1"/>
    <xf numFmtId="19" fontId="4" fillId="2" borderId="22" xfId="0" applyNumberFormat="1" applyFont="1" applyFill="1" applyBorder="1"/>
    <xf numFmtId="19" fontId="4" fillId="2" borderId="32" xfId="0" applyNumberFormat="1" applyFont="1" applyFill="1" applyBorder="1"/>
    <xf numFmtId="19" fontId="4" fillId="2" borderId="29" xfId="0" applyNumberFormat="1" applyFont="1" applyFill="1" applyBorder="1"/>
    <xf numFmtId="0" fontId="13" fillId="5" borderId="0" xfId="0" applyFont="1" applyFill="1" applyAlignment="1">
      <alignment horizontal="center" vertical="center"/>
    </xf>
    <xf numFmtId="164" fontId="4" fillId="3" borderId="0" xfId="0" applyNumberFormat="1" applyFont="1" applyFill="1" applyAlignment="1">
      <alignment horizontal="center"/>
    </xf>
    <xf numFmtId="164" fontId="8" fillId="4" borderId="7" xfId="0" applyNumberFormat="1" applyFont="1" applyFill="1" applyBorder="1" applyAlignment="1">
      <alignment horizontal="left"/>
    </xf>
    <xf numFmtId="164" fontId="8" fillId="4" borderId="8" xfId="0" applyNumberFormat="1" applyFont="1" applyFill="1" applyBorder="1" applyAlignment="1">
      <alignment horizontal="left"/>
    </xf>
    <xf numFmtId="164" fontId="8" fillId="4" borderId="9" xfId="0" applyNumberFormat="1" applyFont="1" applyFill="1" applyBorder="1" applyAlignment="1">
      <alignment horizontal="left"/>
    </xf>
    <xf numFmtId="164" fontId="8" fillId="4" borderId="7" xfId="0" applyNumberFormat="1" applyFont="1" applyFill="1" applyBorder="1" applyAlignment="1">
      <alignment horizontal="right"/>
    </xf>
    <xf numFmtId="164" fontId="8" fillId="4" borderId="8" xfId="0" applyNumberFormat="1" applyFont="1" applyFill="1" applyBorder="1" applyAlignment="1">
      <alignment horizontal="right"/>
    </xf>
    <xf numFmtId="164" fontId="8" fillId="4" borderId="9" xfId="0" applyNumberFormat="1" applyFont="1" applyFill="1" applyBorder="1" applyAlignment="1">
      <alignment horizontal="right"/>
    </xf>
    <xf numFmtId="0" fontId="1" fillId="4" borderId="7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10" fontId="1" fillId="4" borderId="14" xfId="0" applyNumberFormat="1" applyFont="1" applyFill="1" applyBorder="1" applyAlignment="1">
      <alignment horizontal="center" vertical="center" textRotation="90"/>
    </xf>
    <xf numFmtId="10" fontId="1" fillId="4" borderId="12" xfId="0" applyNumberFormat="1" applyFont="1" applyFill="1" applyBorder="1" applyAlignment="1">
      <alignment horizontal="center" vertical="center" textRotation="90"/>
    </xf>
    <xf numFmtId="10" fontId="1" fillId="4" borderId="13" xfId="0" applyNumberFormat="1" applyFont="1" applyFill="1" applyBorder="1" applyAlignment="1">
      <alignment horizontal="center" vertical="center" textRotation="90"/>
    </xf>
    <xf numFmtId="164" fontId="2" fillId="0" borderId="3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35" xfId="0" applyNumberFormat="1" applyFont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2" xfId="0" applyFont="1" applyFill="1" applyBorder="1" applyAlignment="1">
      <alignment horizontal="center" vertical="center" textRotation="90"/>
    </xf>
    <xf numFmtId="0" fontId="1" fillId="4" borderId="13" xfId="0" applyFont="1" applyFill="1" applyBorder="1" applyAlignment="1">
      <alignment horizontal="center" vertical="center" textRotation="90"/>
    </xf>
    <xf numFmtId="164" fontId="2" fillId="0" borderId="16" xfId="0" applyNumberFormat="1" applyFon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6" fontId="1" fillId="4" borderId="14" xfId="0" applyNumberFormat="1" applyFont="1" applyFill="1" applyBorder="1" applyAlignment="1">
      <alignment horizontal="center" vertical="center" textRotation="90"/>
    </xf>
    <xf numFmtId="166" fontId="1" fillId="4" borderId="12" xfId="0" applyNumberFormat="1" applyFont="1" applyFill="1" applyBorder="1" applyAlignment="1">
      <alignment horizontal="center" vertical="center" textRotation="90"/>
    </xf>
    <xf numFmtId="166" fontId="1" fillId="4" borderId="13" xfId="0" applyNumberFormat="1" applyFont="1" applyFill="1" applyBorder="1" applyAlignment="1">
      <alignment horizontal="center" vertical="center" textRotation="90"/>
    </xf>
    <xf numFmtId="8" fontId="1" fillId="4" borderId="14" xfId="0" applyNumberFormat="1" applyFont="1" applyFill="1" applyBorder="1" applyAlignment="1">
      <alignment horizontal="center" vertical="center" textRotation="90"/>
    </xf>
    <xf numFmtId="8" fontId="1" fillId="4" borderId="12" xfId="0" applyNumberFormat="1" applyFont="1" applyFill="1" applyBorder="1" applyAlignment="1">
      <alignment horizontal="center" vertical="center" textRotation="90"/>
    </xf>
    <xf numFmtId="8" fontId="1" fillId="4" borderId="13" xfId="0" applyNumberFormat="1" applyFont="1" applyFill="1" applyBorder="1" applyAlignment="1">
      <alignment horizontal="center" vertical="center" textRotation="90"/>
    </xf>
  </cellXfs>
  <cellStyles count="4">
    <cellStyle name="Bad" xfId="3" builtinId="27"/>
    <cellStyle name="Good" xfId="1" builtinId="26"/>
    <cellStyle name="Hyperlink" xfId="2" builtinId="8"/>
    <cellStyle name="Normal" xfId="0" builtinId="0"/>
  </cellStyles>
  <dxfs count="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CCCC"/>
      <color rgb="FFFF7C80"/>
      <color rgb="FFFFFFCC"/>
      <color rgb="FFFF9999"/>
      <color rgb="FFE4BAFE"/>
      <color rgb="FF920000"/>
      <color rgb="FFFFB3B5"/>
      <color rgb="FFFFFBEF"/>
      <color rgb="FFD696FE"/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onnections" Target="connections.xml"/><Relationship Id="rId5" Type="http://schemas.openxmlformats.org/officeDocument/2006/relationships/externalLink" Target="externalLinks/externalLink2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76200</xdr:colOff>
      <xdr:row>8</xdr:row>
      <xdr:rowOff>68580</xdr:rowOff>
    </xdr:from>
    <xdr:to>
      <xdr:col>29</xdr:col>
      <xdr:colOff>220980</xdr:colOff>
      <xdr:row>13</xdr:row>
      <xdr:rowOff>160020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40E2A7F-405F-43BE-A1CF-B66E2D3EAB1D}"/>
            </a:ext>
          </a:extLst>
        </xdr:cNvPr>
        <xdr:cNvSpPr/>
      </xdr:nvSpPr>
      <xdr:spPr>
        <a:xfrm>
          <a:off x="8382000" y="1226820"/>
          <a:ext cx="3268980" cy="1005840"/>
        </a:xfrm>
        <a:prstGeom prst="roundRect">
          <a:avLst/>
        </a:prstGeom>
        <a:ln w="76200">
          <a:solidFill>
            <a:schemeClr val="accent2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Fill in your brokers margin % requirements</a:t>
          </a:r>
        </a:p>
        <a:p>
          <a:pPr algn="ctr"/>
          <a:endParaRPr lang="en-US" sz="1100"/>
        </a:p>
      </xdr:txBody>
    </xdr:sp>
    <xdr:clientData/>
  </xdr:twoCellAnchor>
  <xdr:twoCellAnchor>
    <xdr:from>
      <xdr:col>21</xdr:col>
      <xdr:colOff>243840</xdr:colOff>
      <xdr:row>13</xdr:row>
      <xdr:rowOff>144780</xdr:rowOff>
    </xdr:from>
    <xdr:to>
      <xdr:col>24</xdr:col>
      <xdr:colOff>449580</xdr:colOff>
      <xdr:row>15</xdr:row>
      <xdr:rowOff>121920</xdr:rowOff>
    </xdr:to>
    <xdr:sp macro="" textlink="">
      <xdr:nvSpPr>
        <xdr:cNvPr id="3" name="Arrow: Left 2">
          <a:extLst>
            <a:ext uri="{FF2B5EF4-FFF2-40B4-BE49-F238E27FC236}">
              <a16:creationId xmlns:a16="http://schemas.microsoft.com/office/drawing/2014/main" id="{4C87D783-FC63-4779-829D-C50EA8DAC828}"/>
            </a:ext>
          </a:extLst>
        </xdr:cNvPr>
        <xdr:cNvSpPr/>
      </xdr:nvSpPr>
      <xdr:spPr>
        <a:xfrm rot="20050073">
          <a:off x="7193280" y="2217420"/>
          <a:ext cx="1562100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24</xdr:col>
      <xdr:colOff>38100</xdr:colOff>
      <xdr:row>25</xdr:row>
      <xdr:rowOff>106680</xdr:rowOff>
    </xdr:from>
    <xdr:to>
      <xdr:col>29</xdr:col>
      <xdr:colOff>182880</xdr:colOff>
      <xdr:row>32</xdr:row>
      <xdr:rowOff>175260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C9ED4036-26E9-4DCA-9BFB-EB61CFFE2BEF}"/>
            </a:ext>
          </a:extLst>
        </xdr:cNvPr>
        <xdr:cNvSpPr/>
      </xdr:nvSpPr>
      <xdr:spPr>
        <a:xfrm>
          <a:off x="8343900" y="4373880"/>
          <a:ext cx="3268980" cy="1348740"/>
        </a:xfrm>
        <a:prstGeom prst="roundRect">
          <a:avLst/>
        </a:prstGeom>
        <a:ln w="76200">
          <a:solidFill>
            <a:schemeClr val="accent2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Not to be used for trend direction</a:t>
          </a:r>
          <a:r>
            <a:rPr lang="en-US" sz="1100" baseline="0"/>
            <a:t> or strength.</a:t>
          </a:r>
        </a:p>
        <a:p>
          <a:pPr algn="ctr"/>
          <a:endParaRPr lang="en-US" sz="1100" baseline="0"/>
        </a:p>
        <a:p>
          <a:pPr algn="ctr"/>
          <a:r>
            <a:rPr lang="en-US" sz="1100" baseline="0"/>
            <a:t>Measures distance of current price from </a:t>
          </a:r>
        </a:p>
        <a:p>
          <a:pPr algn="ctr"/>
          <a:r>
            <a:rPr lang="en-US" sz="1100" baseline="0"/>
            <a:t>todays high/low</a:t>
          </a:r>
          <a:endParaRPr lang="en-US" sz="1100"/>
        </a:p>
        <a:p>
          <a:pPr algn="ctr"/>
          <a:endParaRPr lang="en-US" sz="1100"/>
        </a:p>
      </xdr:txBody>
    </xdr:sp>
    <xdr:clientData/>
  </xdr:twoCellAnchor>
  <xdr:twoCellAnchor>
    <xdr:from>
      <xdr:col>16</xdr:col>
      <xdr:colOff>510541</xdr:colOff>
      <xdr:row>22</xdr:row>
      <xdr:rowOff>68580</xdr:rowOff>
    </xdr:from>
    <xdr:to>
      <xdr:col>25</xdr:col>
      <xdr:colOff>579121</xdr:colOff>
      <xdr:row>24</xdr:row>
      <xdr:rowOff>45720</xdr:rowOff>
    </xdr:to>
    <xdr:sp macro="" textlink="">
      <xdr:nvSpPr>
        <xdr:cNvPr id="6" name="Arrow: Left 5">
          <a:extLst>
            <a:ext uri="{FF2B5EF4-FFF2-40B4-BE49-F238E27FC236}">
              <a16:creationId xmlns:a16="http://schemas.microsoft.com/office/drawing/2014/main" id="{F8CFF563-F515-422C-97F6-B17D8E5DFB7C}"/>
            </a:ext>
          </a:extLst>
        </xdr:cNvPr>
        <xdr:cNvSpPr/>
      </xdr:nvSpPr>
      <xdr:spPr>
        <a:xfrm rot="970245">
          <a:off x="5867401" y="3787140"/>
          <a:ext cx="3642360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12fa85d1527a9d0/Trading/2%20Axiom%20Workbo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Trade Process"/>
      <sheetName val="Compound Calculator"/>
      <sheetName val="Computer Setups"/>
      <sheetName val="Visual Playbook"/>
      <sheetName val="Fundamentals"/>
      <sheetName val="Account Performance"/>
      <sheetName val="Currency Performance"/>
      <sheetName val="Todays Performance"/>
      <sheetName val="Open Performance"/>
      <sheetName val="Closed Performance"/>
      <sheetName val="Analytics - Time"/>
      <sheetName val="Analytics - Counts"/>
      <sheetName val="Analytics Log - Live"/>
      <sheetName val="Trade Axiom"/>
      <sheetName val="Trade Axiom - Alpha"/>
      <sheetName val="Trade Axiom - Order Entry"/>
      <sheetName val="Trade Axiom - Calculation"/>
      <sheetName val="Trade Axiom - Pricing"/>
      <sheetName val="Trade Axiom - Market"/>
      <sheetName val="Trade Axiom - OE AX PR CA"/>
      <sheetName val="Daily Play"/>
      <sheetName val="Algo M5"/>
      <sheetName val="Algo D1"/>
      <sheetName val="Tax Calculator"/>
      <sheetName val="Currency Basket"/>
      <sheetName val="Backtesting"/>
      <sheetName val="Indicators"/>
      <sheetName val="Settings"/>
      <sheetName val="Data - Fundamental"/>
      <sheetName val="Data - Data Feed"/>
      <sheetName val="Data - DDE"/>
      <sheetName val="Data - Pair Specs"/>
      <sheetName val="Data - Pricing"/>
      <sheetName val="Data - Pip Values"/>
      <sheetName val="Account Export - Real History"/>
      <sheetName val="Account Export - Real Live"/>
      <sheetName val="Account Export - Demo Live"/>
      <sheetName val="Account Export - Demo Live AX2"/>
      <sheetName val="Account Export - Demo History"/>
      <sheetName val="Floating Tools"/>
      <sheetName val="EA Logic Flow"/>
      <sheetName val="Data List"/>
      <sheetName val="Trade Creator - Pricing"/>
      <sheetName val="Trade Creator - Calculation"/>
      <sheetName val="Trade Creator"/>
      <sheetName val="Risk Mode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Q2" t="str">
            <v>Suite</v>
          </cell>
        </row>
        <row r="3">
          <cell r="Q3" t="str">
            <v>Analytics</v>
          </cell>
        </row>
        <row r="4">
          <cell r="Q4" t="str">
            <v>MDB</v>
          </cell>
        </row>
        <row r="5">
          <cell r="Q5" t="str">
            <v>Indicators</v>
          </cell>
        </row>
        <row r="6">
          <cell r="Q6" t="str">
            <v>Tools</v>
          </cell>
        </row>
        <row r="7">
          <cell r="Q7" t="str">
            <v>Data</v>
          </cell>
        </row>
        <row r="8">
          <cell r="Q8" t="str">
            <v>Maintenance</v>
          </cell>
        </row>
        <row r="9">
          <cell r="Q9" t="str">
            <v>WIP</v>
          </cell>
        </row>
        <row r="10">
          <cell r="Q10" t="str">
            <v>_____MasterList</v>
          </cell>
        </row>
      </sheetData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43976.800694444442</val>
          </value>
        </values>
      </ddeItem>
      <ddeItem name="AUDCHF" advise="1">
        <values>
          <value>
            <val>43976.799305555556</val>
          </value>
        </values>
      </ddeItem>
      <ddeItem name="AUDJPY" advise="1">
        <values>
          <value>
            <val>43976.800000000003</val>
          </value>
        </values>
      </ddeItem>
      <ddeItem name="AUDNZD" advise="1">
        <values>
          <value>
            <val>43976.800000000003</val>
          </value>
        </values>
      </ddeItem>
      <ddeItem name="AUDUSD" advise="1">
        <values>
          <value>
            <val>43976.799305555556</val>
          </value>
        </values>
      </ddeItem>
      <ddeItem name="CADCHF" advise="1">
        <values>
          <value>
            <val>43976.799305555556</val>
          </value>
        </values>
      </ddeItem>
      <ddeItem name="CADJPY" advise="1">
        <values>
          <value>
            <val>43976.800000000003</val>
          </value>
        </values>
      </ddeItem>
      <ddeItem name="CHFJPY" advise="1">
        <values>
          <value>
            <val>43976.800000000003</val>
          </value>
        </values>
      </ddeItem>
      <ddeItem name="EURAUD" advise="1">
        <values>
          <value>
            <val>43976.800000000003</val>
          </value>
        </values>
      </ddeItem>
      <ddeItem name="EURCAD" advise="1">
        <values>
          <value>
            <val>43976.800694444442</val>
          </value>
        </values>
      </ddeItem>
      <ddeItem name="EURCHF" advise="1">
        <values>
          <value>
            <val>43976.799305555556</val>
          </value>
        </values>
      </ddeItem>
      <ddeItem name="EURGBP" advise="1">
        <values>
          <value>
            <val>43976.800000000003</val>
          </value>
        </values>
      </ddeItem>
      <ddeItem name="EURJPY" advise="1">
        <values>
          <value>
            <val>43976.800000000003</val>
          </value>
        </values>
      </ddeItem>
      <ddeItem name="EURNZD" advise="1">
        <values>
          <value>
            <val>43976.800694444442</val>
          </value>
        </values>
      </ddeItem>
      <ddeItem name="EURUSD" advise="1">
        <values>
          <value>
            <val>43976.800694444442</val>
          </value>
        </values>
      </ddeItem>
      <ddeItem name="GBPAUD" advise="1">
        <values>
          <value>
            <val>43976.800694444442</val>
          </value>
        </values>
      </ddeItem>
      <ddeItem name="GBPCAD" advise="1">
        <values>
          <value>
            <val>43976.800694444442</val>
          </value>
        </values>
      </ddeItem>
      <ddeItem name="GBPCHF" advise="1">
        <values>
          <value>
            <val>43976.800694444442</val>
          </value>
        </values>
      </ddeItem>
      <ddeItem name="GBPJPY" advise="1">
        <values>
          <value>
            <val>43976.800694444442</val>
          </value>
        </values>
      </ddeItem>
      <ddeItem name="GBPNZD" advise="1">
        <values>
          <value>
            <val>43976.800694444442</val>
          </value>
        </values>
      </ddeItem>
      <ddeItem name="GBPUSD" advise="1">
        <values>
          <value>
            <val>43976.800000000003</val>
          </value>
        </values>
      </ddeItem>
      <ddeItem name="NZDCAD" advise="1">
        <values>
          <value>
            <val>43976.800694444442</val>
          </value>
        </values>
      </ddeItem>
      <ddeItem name="NZDCHF" advise="1">
        <values>
          <value>
            <val>43976.799305555556</val>
          </value>
        </values>
      </ddeItem>
      <ddeItem name="NZDJPY" advise="1">
        <values>
          <value>
            <val>43976.800000000003</val>
          </value>
        </values>
      </ddeItem>
      <ddeItem name="NZDUSD" advise="1">
        <values>
          <value>
            <val>43976.799305555556</val>
          </value>
        </values>
      </ddeItem>
      <ddeItem name="StdDocumentName" ole="1" advise="1"/>
      <ddeItem name="USDCAD" advise="1">
        <values>
          <value>
            <val>43976.800000000003</val>
          </value>
        </values>
      </ddeItem>
      <ddeItem name="USDCHF" advise="1">
        <values>
          <value>
            <val>43976.799305555556</val>
          </value>
        </values>
      </ddeItem>
      <ddeItem name="USDJPY" advise="1">
        <values>
          <value>
            <val>43976.800000000003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0.91454999999999997</val>
          </value>
        </values>
      </ddeItem>
      <ddeItem name="AUDCHF" advise="1">
        <values>
          <value>
            <val>0.63551999999999997</val>
          </value>
        </values>
      </ddeItem>
      <ddeItem name="AUDJPY" advise="1">
        <values>
          <value>
            <val>70.504999999999995</val>
          </value>
        </values>
      </ddeItem>
      <ddeItem name="AUDNZD" advise="1">
        <values>
          <value>
            <val>1.0729599999999999</val>
          </value>
        </values>
      </ddeItem>
      <ddeItem name="AUDUSD" advise="1">
        <values>
          <value>
            <val>0.65466000000000002</val>
          </value>
        </values>
      </ddeItem>
      <ddeItem name="CADCHF" advise="1">
        <values>
          <value>
            <val>0.69484000000000001</val>
          </value>
        </values>
      </ddeItem>
      <ddeItem name="CADJPY" advise="1">
        <values>
          <value>
            <val>77.078999999999994</val>
          </value>
        </values>
      </ddeItem>
      <ddeItem name="CHFJPY" advise="1">
        <values>
          <value>
            <val>110.919</val>
          </value>
        </values>
      </ddeItem>
      <ddeItem name="EURAUD" advise="1">
        <values>
          <value>
            <val>1.6639999999999999</val>
          </value>
        </values>
      </ddeItem>
      <ddeItem name="EURCAD" advise="1">
        <values>
          <value>
            <val>1.5220100000000001</val>
          </value>
        </values>
      </ddeItem>
      <ddeItem name="EURCHF" advise="1">
        <values>
          <value>
            <val>1.05772</val>
          </value>
        </values>
      </ddeItem>
      <ddeItem name="EURGBP" advise="1">
        <values>
          <value>
            <val>0.89324000000000003</val>
          </value>
        </values>
      </ddeItem>
      <ddeItem name="EURJPY" advise="1">
        <values>
          <value>
            <val>117.334</val>
          </value>
        </values>
      </ddeItem>
      <ddeItem name="EURNZD" advise="1">
        <values>
          <value>
            <val>1.78566</val>
          </value>
        </values>
      </ddeItem>
      <ddeItem name="EURUSD" advise="1">
        <values>
          <value>
            <val>1.0895300000000001</val>
          </value>
        </values>
      </ddeItem>
      <ddeItem name="GBPAUD" advise="1">
        <values>
          <value>
            <val>1.8626799999999999</val>
          </value>
        </values>
      </ddeItem>
      <ddeItem name="GBPCAD" advise="1">
        <values>
          <value>
            <val>1.7037599999999999</val>
          </value>
        </values>
      </ddeItem>
      <ddeItem name="GBPCHF" advise="1">
        <values>
          <value>
            <val>1.1840200000000001</val>
          </value>
        </values>
      </ddeItem>
      <ddeItem name="GBPJPY" advise="1">
        <values>
          <value>
            <val>131.34200000000001</val>
          </value>
        </values>
      </ddeItem>
      <ddeItem name="GBPNZD" advise="1">
        <values>
          <value>
            <val>1.9988600000000001</val>
          </value>
        </values>
      </ddeItem>
      <ddeItem name="GBPUSD" advise="1">
        <values>
          <value>
            <val>1.2196</val>
          </value>
        </values>
      </ddeItem>
      <ddeItem name="NZDCAD" advise="1">
        <values>
          <value>
            <val>0.85218000000000005</val>
          </value>
        </values>
      </ddeItem>
      <ddeItem name="NZDCHF" advise="1">
        <values>
          <value>
            <val>0.59221000000000001</val>
          </value>
        </values>
      </ddeItem>
      <ddeItem name="NZDJPY" advise="1">
        <values>
          <value>
            <val>65.694999999999993</val>
          </value>
        </values>
      </ddeItem>
      <ddeItem name="NZDUSD" advise="1">
        <values>
          <value>
            <val>0.61002999999999996</val>
          </value>
        </values>
      </ddeItem>
      <ddeItem name="StdDocumentName" ole="1" advise="1"/>
      <ddeItem name="USDCAD" advise="1">
        <values>
          <value>
            <val>1.3969</val>
          </value>
        </values>
      </ddeItem>
      <ddeItem name="USDCHF" advise="1">
        <values>
          <value>
            <val>0.97077000000000002</val>
          </value>
        </values>
      </ddeItem>
      <ddeItem name="USDJPY" advise="1">
        <values>
          <value>
            <val>107.68600000000001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0.91479999999999995</val>
          </value>
        </values>
      </ddeItem>
      <ddeItem name="AUDCHF" advise="1">
        <values>
          <value>
            <val>0.63580999999999999</val>
          </value>
        </values>
      </ddeItem>
      <ddeItem name="AUDJPY" advise="1">
        <values>
          <value>
            <val>70.521000000000001</val>
          </value>
        </values>
      </ddeItem>
      <ddeItem name="AUDNZD" advise="1">
        <values>
          <value>
            <val>1.0732999999999999</val>
          </value>
        </values>
      </ddeItem>
      <ddeItem name="AUDUSD" advise="1">
        <values>
          <value>
            <val>0.65481999999999996</val>
          </value>
        </values>
      </ddeItem>
      <ddeItem name="CADCHF" advise="1">
        <values>
          <value>
            <val>0.69508999999999999</val>
          </value>
        </values>
      </ddeItem>
      <ddeItem name="CADJPY" advise="1">
        <values>
          <value>
            <val>77.096000000000004</val>
          </value>
        </values>
      </ddeItem>
      <ddeItem name="CHFJPY" advise="1">
        <values>
          <value>
            <val>110.941</val>
          </value>
        </values>
      </ddeItem>
      <ddeItem name="EURAUD" advise="1">
        <values>
          <value>
            <val>1.6642600000000001</val>
          </value>
        </values>
      </ddeItem>
      <ddeItem name="EURCAD" advise="1">
        <values>
          <value>
            <val>1.5223</val>
          </value>
        </values>
      </ddeItem>
      <ddeItem name="EURCHF" advise="1">
        <values>
          <value>
            <val>1.05793</val>
          </value>
        </values>
      </ddeItem>
      <ddeItem name="EURGBP" advise="1">
        <values>
          <value>
            <val>0.89344000000000001</val>
          </value>
        </values>
      </ddeItem>
      <ddeItem name="EURJPY" advise="1">
        <values>
          <value>
            <val>117.352</val>
          </value>
        </values>
      </ddeItem>
      <ddeItem name="EURNZD" advise="1">
        <values>
          <value>
            <val>1.78607</val>
          </value>
        </values>
      </ddeItem>
      <ddeItem name="EURUSD" advise="1">
        <values>
          <value>
            <val>1.0896600000000001</val>
          </value>
        </values>
      </ddeItem>
      <ddeItem name="GBPAUD" advise="1">
        <values>
          <value>
            <val>1.8630800000000001</val>
          </value>
        </values>
      </ddeItem>
      <ddeItem name="GBPCAD" advise="1">
        <values>
          <value>
            <val>1.70417</val>
          </value>
        </values>
      </ddeItem>
      <ddeItem name="GBPCHF" advise="1">
        <values>
          <value>
            <val>1.18428</val>
          </value>
        </values>
      </ddeItem>
      <ddeItem name="GBPJPY" advise="1">
        <values>
          <value>
            <val>131.37200000000001</val>
          </value>
        </values>
      </ddeItem>
      <ddeItem name="GBPNZD" advise="1">
        <values>
          <value>
            <val>1.99942</val>
          </value>
        </values>
      </ddeItem>
      <ddeItem name="GBPUSD" advise="1">
        <values>
          <value>
            <val>1.2198100000000001</val>
          </value>
        </values>
      </ddeItem>
      <ddeItem name="NZDCAD" advise="1">
        <values>
          <value>
            <val>0.85248000000000002</val>
          </value>
        </values>
      </ddeItem>
      <ddeItem name="NZDCHF" advise="1">
        <values>
          <value>
            <val>0.59253</val>
          </value>
        </values>
      </ddeItem>
      <ddeItem name="NZDJPY" advise="1">
        <values>
          <value>
            <val>65.718000000000004</val>
          </value>
        </values>
      </ddeItem>
      <ddeItem name="NZDUSD" advise="1">
        <values>
          <value>
            <val>0.61021999999999998</val>
          </value>
        </values>
      </ddeItem>
      <ddeItem name="StdDocumentName" ole="1" advise="1"/>
      <ddeItem name="USDCAD" advise="1">
        <values>
          <value>
            <val>1.3970899999999999</val>
          </value>
        </values>
      </ddeItem>
      <ddeItem name="USDCHF" advise="1">
        <values>
          <value>
            <val>0.97097</val>
          </value>
        </values>
      </ddeItem>
      <ddeItem name="USDJPY" advise="1">
        <values>
          <value>
            <val>107.702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0.91264000000000001</val>
          </value>
        </values>
      </ddeItem>
      <ddeItem name="AUDCHF" advise="1">
        <values>
          <value>
            <val>0.63360000000000005</val>
          </value>
        </values>
      </ddeItem>
      <ddeItem name="AUDJPY" advise="1">
        <values>
          <value>
            <val>70.19</val>
          </value>
        </values>
      </ddeItem>
      <ddeItem name="AUDNZD" advise="1">
        <values>
          <value>
            <val>1.07056</val>
          </value>
        </values>
      </ddeItem>
      <ddeItem name="AUDUSD" advise="1">
        <values>
          <value>
            <val>0.65192000000000005</val>
          </value>
        </values>
      </ddeItem>
      <ddeItem name="CADCHF" advise="1">
        <values>
          <value>
            <val>0.69313999999999998</val>
          </value>
        </values>
      </ddeItem>
      <ddeItem name="CADJPY" advise="1">
        <values>
          <value>
            <val>76.759</val>
          </value>
        </values>
      </ddeItem>
      <ddeItem name="CHFJPY" advise="1">
        <values>
          <value>
            <val>110.539</val>
          </value>
        </values>
      </ddeItem>
      <ddeItem name="EURAUD" advise="1">
        <values>
          <value>
            <val>1.66351</val>
          </value>
        </values>
      </ddeItem>
      <ddeItem name="EURCAD" advise="1">
        <values>
          <value>
            <val>1.52138</val>
          </value>
        </values>
      </ddeItem>
      <ddeItem name="EURCHF" advise="1">
        <values>
          <value>
            <val>1.05759</val>
          </value>
        </values>
      </ddeItem>
      <ddeItem name="EURGBP" advise="1">
        <values>
          <value>
            <val>0.89273000000000002</val>
          </value>
        </values>
      </ddeItem>
      <ddeItem name="EURJPY" advise="1">
        <values>
          <value>
            <val>117.078</val>
          </value>
        </values>
      </ddeItem>
      <ddeItem name="EURNZD" advise="1">
        <values>
          <value>
            <val>1.7845500000000001</val>
          </value>
        </values>
      </ddeItem>
      <ddeItem name="EURUSD" advise="1">
        <values>
          <value>
            <val>1.0869800000000001</val>
          </value>
        </values>
      </ddeItem>
      <ddeItem name="GBPAUD" advise="1">
        <values>
          <value>
            <val>1.86043</val>
          </value>
        </values>
      </ddeItem>
      <ddeItem name="GBPCAD" advise="1">
        <values>
          <value>
            <val>1.7017</val>
          </value>
        </values>
      </ddeItem>
      <ddeItem name="GBPCHF" advise="1">
        <values>
          <value>
            <val>1.1817299999999999</val>
          </value>
        </values>
      </ddeItem>
      <ddeItem name="GBPJPY" advise="1">
        <values>
          <value>
            <val>130.85900000000001</val>
          </value>
        </values>
      </ddeItem>
      <ddeItem name="GBPNZD" advise="1">
        <values>
          <value>
            <val>1.9948399999999999</val>
          </value>
        </values>
      </ddeItem>
      <ddeItem name="GBPUSD" advise="1">
        <values>
          <value>
            <val>1.21593</val>
          </value>
        </values>
      </ddeItem>
      <ddeItem name="NZDCAD" advise="1">
        <values>
          <value>
            <val>0.85145999999999999</val>
          </value>
        </values>
      </ddeItem>
      <ddeItem name="NZDCHF" advise="1">
        <values>
          <value>
            <val>0.59050999999999998</val>
          </value>
        </values>
      </ddeItem>
      <ddeItem name="NZDJPY" advise="1">
        <values>
          <value>
            <val>65.438000000000002</val>
          </value>
        </values>
      </ddeItem>
      <ddeItem name="NZDUSD" advise="1">
        <values>
          <value>
            <val>0.60812999999999995</val>
          </value>
        </values>
      </ddeItem>
      <ddeItem name="StdDocumentName" ole="1" advise="1"/>
      <ddeItem name="USDCAD" advise="1">
        <values>
          <value>
            <val>1.39673</val>
          </value>
        </values>
      </ddeItem>
      <ddeItem name="USDCHF" advise="1">
        <values>
          <value>
            <val>0.97036</val>
          </value>
        </values>
      </ddeItem>
      <ddeItem name="USDJPY" advise="1">
        <values>
          <value>
            <val>107.517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0.91583999999999999</val>
          </value>
        </values>
      </ddeItem>
      <ddeItem name="AUDCHF" advise="1">
        <values>
          <value>
            <val>0.63617000000000001</val>
          </value>
        </values>
      </ddeItem>
      <ddeItem name="AUDJPY" advise="1">
        <values>
          <value>
            <val>70.573999999999998</val>
          </value>
        </values>
      </ddeItem>
      <ddeItem name="AUDNZD" advise="1">
        <values>
          <value>
            <val>1.07352</val>
          </value>
        </values>
      </ddeItem>
      <ddeItem name="AUDUSD" advise="1">
        <values>
          <value>
            <val>0.65491999999999995</val>
          </value>
        </values>
      </ddeItem>
      <ddeItem name="CADCHF" advise="1">
        <values>
          <value>
            <val>0.69588000000000005</val>
          </value>
        </values>
      </ddeItem>
      <ddeItem name="CADJPY" advise="1">
        <values>
          <value>
            <val>77.091999999999999</val>
          </value>
        </values>
      </ddeItem>
      <ddeItem name="CHFJPY" advise="1">
        <values>
          <value>
            <val>110.959</val>
          </value>
        </values>
      </ddeItem>
      <ddeItem name="EURAUD" advise="1">
        <values>
          <value>
            <val>1.6700900000000001</val>
          </value>
        </values>
      </ddeItem>
      <ddeItem name="EURCAD" advise="1">
        <values>
          <value>
            <val>1.5263899999999999</val>
          </value>
        </values>
      </ddeItem>
      <ddeItem name="EURCHF" advise="1">
        <values>
          <value>
            <val>1.0597700000000001</val>
          </value>
        </values>
      </ddeItem>
      <ddeItem name="EURGBP" advise="1">
        <values>
          <value>
            <val>0.89605999999999997</val>
          </value>
        </values>
      </ddeItem>
      <ddeItem name="EURJPY" advise="1">
        <values>
          <value>
            <val>117.54900000000001</val>
          </value>
        </values>
      </ddeItem>
      <ddeItem name="EURNZD" advise="1">
        <values>
          <value>
            <val>1.79047</val>
          </value>
        </values>
      </ddeItem>
      <ddeItem name="EURUSD" advise="1">
        <values>
          <value>
            <val>1.0913900000000001</val>
          </value>
        </values>
      </ddeItem>
      <ddeItem name="GBPAUD" advise="1">
        <values>
          <value>
            <val>1.8665</val>
          </value>
        </values>
      </ddeItem>
      <ddeItem name="GBPCAD" advise="1">
        <values>
          <value>
            <val>1.70621</val>
          </value>
        </values>
      </ddeItem>
      <ddeItem name="GBPCHF" advise="1">
        <values>
          <value>
            <val>1.1854800000000001</val>
          </value>
        </values>
      </ddeItem>
      <ddeItem name="GBPJPY" advise="1">
        <values>
          <value>
            <val>131.4</val>
          </value>
        </values>
      </ddeItem>
      <ddeItem name="GBPNZD" advise="1">
        <values>
          <value>
            <val>2.00088</val>
          </value>
        </values>
      </ddeItem>
      <ddeItem name="GBPUSD" advise="1">
        <values>
          <value>
            <val>1.22031</val>
          </value>
        </values>
      </ddeItem>
      <ddeItem name="NZDCAD" advise="1">
        <values>
          <value>
            <val>0.85394999999999999</val>
          </value>
        </values>
      </ddeItem>
      <ddeItem name="NZDCHF" advise="1">
        <values>
          <value>
            <val>0.59321000000000002</val>
          </value>
        </values>
      </ddeItem>
      <ddeItem name="NZDJPY" advise="1">
        <values>
          <value>
            <val>65.802999999999997</val>
          </value>
        </values>
      </ddeItem>
      <ddeItem name="NZDUSD" advise="1">
        <values>
          <value>
            <val>0.61077000000000004</val>
          </value>
        </values>
      </ddeItem>
      <ddeItem name="StdDocumentName" ole="1" advise="1"/>
      <ddeItem name="USDCAD" advise="1">
        <values>
          <value>
            <val>1.4006799999999999</val>
          </value>
        </values>
      </ddeItem>
      <ddeItem name="USDCHF" advise="1">
        <values>
          <value>
            <val>0.97350999999999999</val>
          </value>
        </values>
      </ddeItem>
      <ddeItem name="USDJPY" advise="1">
        <values>
          <value>
            <val>107.776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631DA-DD3A-420F-937A-B3DCFF472B66}">
  <sheetPr codeName="Sheet44"/>
  <dimension ref="A1:W59"/>
  <sheetViews>
    <sheetView tabSelected="1" zoomScaleNormal="100" workbookViewId="0">
      <selection activeCell="AF27" sqref="AF27"/>
    </sheetView>
  </sheetViews>
  <sheetFormatPr defaultColWidth="9.109375" defaultRowHeight="14.4" x14ac:dyDescent="0.3"/>
  <cols>
    <col min="1" max="1" width="0.88671875" style="5" customWidth="1"/>
    <col min="2" max="2" width="3.109375" style="22" customWidth="1"/>
    <col min="3" max="3" width="4.21875" style="5" customWidth="1"/>
    <col min="4" max="4" width="9.33203125" style="5" customWidth="1"/>
    <col min="5" max="5" width="2.77734375" style="5" customWidth="1"/>
    <col min="6" max="6" width="8.77734375" style="39" customWidth="1"/>
    <col min="7" max="7" width="9.44140625" style="22" hidden="1" customWidth="1"/>
    <col min="8" max="8" width="4.44140625" style="22" bestFit="1" customWidth="1"/>
    <col min="9" max="9" width="8.77734375" style="5" customWidth="1"/>
    <col min="10" max="10" width="8.77734375" style="46" customWidth="1"/>
    <col min="11" max="11" width="2.77734375" style="56" customWidth="1"/>
    <col min="12" max="12" width="8.33203125" style="59" customWidth="1"/>
    <col min="13" max="13" width="3.77734375" style="60" customWidth="1"/>
    <col min="14" max="14" width="8.33203125" style="61" hidden="1" customWidth="1"/>
    <col min="15" max="15" width="8.33203125" style="61" customWidth="1"/>
    <col min="16" max="16" width="3.77734375" style="114" customWidth="1"/>
    <col min="17" max="17" width="8.33203125" style="50" customWidth="1"/>
    <col min="18" max="18" width="8.33203125" style="50" hidden="1" customWidth="1"/>
    <col min="19" max="19" width="3.77734375" style="57" customWidth="1"/>
    <col min="20" max="20" width="8.33203125" style="58" customWidth="1"/>
    <col min="21" max="21" width="2.77734375" style="22" customWidth="1"/>
    <col min="22" max="22" width="7.33203125" style="5" customWidth="1"/>
    <col min="23" max="23" width="9.6640625" style="5" bestFit="1" customWidth="1"/>
    <col min="24" max="24" width="2.77734375" style="5" customWidth="1"/>
    <col min="25" max="16384" width="9.109375" style="5"/>
  </cols>
  <sheetData>
    <row r="1" spans="1:23" ht="6.6" customHeight="1" x14ac:dyDescent="0.3">
      <c r="A1" s="30"/>
      <c r="B1" s="30"/>
      <c r="F1" s="53"/>
      <c r="G1" s="31"/>
      <c r="H1" s="31"/>
      <c r="I1" s="31"/>
      <c r="K1" s="55"/>
      <c r="P1" s="115"/>
      <c r="Q1" s="71"/>
      <c r="R1" s="71"/>
      <c r="S1" s="72"/>
      <c r="T1" s="73"/>
      <c r="U1" s="31"/>
      <c r="V1" s="31"/>
      <c r="W1" s="31"/>
    </row>
    <row r="2" spans="1:23" ht="6.6" customHeight="1" x14ac:dyDescent="0.3">
      <c r="A2" s="30"/>
      <c r="B2" s="30"/>
      <c r="C2" s="160" t="s">
        <v>54</v>
      </c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</row>
    <row r="3" spans="1:23" ht="14.4" customHeight="1" x14ac:dyDescent="0.3"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</row>
    <row r="4" spans="1:23" ht="6" customHeight="1" x14ac:dyDescent="0.3">
      <c r="C4" s="32"/>
      <c r="D4" s="33"/>
      <c r="E4" s="33"/>
      <c r="F4" s="53"/>
      <c r="G4" s="31"/>
      <c r="H4" s="31"/>
      <c r="I4" s="31"/>
      <c r="K4" s="55"/>
      <c r="L4" s="62"/>
      <c r="M4" s="63"/>
      <c r="N4" s="64"/>
      <c r="O4" s="64"/>
      <c r="P4" s="115"/>
      <c r="Q4" s="71"/>
      <c r="R4" s="71"/>
      <c r="S4" s="72"/>
      <c r="T4" s="73"/>
      <c r="U4" s="31"/>
      <c r="V4" s="31"/>
      <c r="W4" s="31"/>
    </row>
    <row r="5" spans="1:23" ht="14.4" customHeight="1" x14ac:dyDescent="0.3">
      <c r="B5" s="5"/>
      <c r="C5" s="8"/>
      <c r="D5" s="145" t="s">
        <v>37</v>
      </c>
      <c r="E5" s="8"/>
      <c r="F5" s="88" t="s">
        <v>38</v>
      </c>
      <c r="G5" s="75" t="s">
        <v>52</v>
      </c>
      <c r="H5" s="168" t="s">
        <v>41</v>
      </c>
      <c r="I5" s="169"/>
      <c r="J5" s="89" t="s">
        <v>39</v>
      </c>
      <c r="K5" s="84"/>
      <c r="L5" s="88" t="s">
        <v>5</v>
      </c>
      <c r="M5" s="162" t="s">
        <v>51</v>
      </c>
      <c r="N5" s="163"/>
      <c r="O5" s="164"/>
      <c r="P5" s="117" t="s">
        <v>53</v>
      </c>
      <c r="Q5" s="165" t="s">
        <v>51</v>
      </c>
      <c r="R5" s="166"/>
      <c r="S5" s="167"/>
      <c r="T5" s="91" t="s">
        <v>4</v>
      </c>
      <c r="U5" s="8"/>
      <c r="V5" s="90" t="s">
        <v>40</v>
      </c>
      <c r="W5" s="151" t="s">
        <v>42</v>
      </c>
    </row>
    <row r="6" spans="1:23" ht="14.4" customHeight="1" x14ac:dyDescent="0.3">
      <c r="B6" s="171" t="s">
        <v>1</v>
      </c>
      <c r="C6" s="34">
        <v>1</v>
      </c>
      <c r="D6" s="146" t="s">
        <v>6</v>
      </c>
      <c r="E6" s="76"/>
      <c r="F6" s="121">
        <f>IFERROR(VLOOKUP(D6,'Data - Data Feed Market'!$A$2:$F$29,3,FALSE),"")</f>
        <v>1.0895300000000001</v>
      </c>
      <c r="G6" s="122">
        <f t="shared" ref="G6:G33" si="0">(F6+J6)/2</f>
        <v>1.0895950000000001</v>
      </c>
      <c r="H6" s="174">
        <f>AVERAGE(I6:I12)</f>
        <v>1.7714285714282432</v>
      </c>
      <c r="I6" s="123">
        <f>IFERROR(VLOOKUP(D6,'Data - Data Feed Market'!$A$2:$F$29,5,FALSE),"")</f>
        <v>1.2999999999996348</v>
      </c>
      <c r="J6" s="124">
        <f>IFERROR(VLOOKUP(D6,'Data - Data Feed Market'!$A$2:$F$29,4,FALSE),"")</f>
        <v>1.0896600000000001</v>
      </c>
      <c r="K6" s="85"/>
      <c r="L6" s="96">
        <f>IFERROR(VLOOKUP(D6,'Data - Data Feed Market'!$A$2:$K$29,10,FALSE),"")</f>
        <v>1.0869800000000001</v>
      </c>
      <c r="M6" s="97">
        <f t="shared" ref="M6:M33" si="1">IFERROR(IF(ISNUMBER(SEARCH("JPY",D6)),((G6-L6)*100),((G6-L6)*10000)),"")</f>
        <v>26.15000000000034</v>
      </c>
      <c r="N6" s="92">
        <f t="shared" ref="N6:N33" si="2">1-M6/P6</f>
        <v>0.4070294784580456</v>
      </c>
      <c r="O6" s="92" t="str">
        <f>IFERROR(IF(N6&gt;50%,N6*-1,""),"")</f>
        <v/>
      </c>
      <c r="P6" s="116">
        <f t="shared" ref="P6:P33" si="3">IFERROR(IF(ISNUMBER(SEARCH("JPY",D6)),((T6-L6)*100),((T6-L6)*10000)),"")</f>
        <v>44.10000000000025</v>
      </c>
      <c r="Q6" s="93">
        <f>IFERROR(IF(R6&gt;50%,R6,""),"")</f>
        <v>0.59297052154195451</v>
      </c>
      <c r="R6" s="93">
        <f t="shared" ref="R6:R33" si="4">1-S6/P6</f>
        <v>0.59297052154195451</v>
      </c>
      <c r="S6" s="105">
        <f t="shared" ref="S6:S33" si="5">IFERROR(IF(ISNUMBER(SEARCH("JPY",D6)),((T6-G6)*100),((T6-G6)*10000)),"")</f>
        <v>17.94999999999991</v>
      </c>
      <c r="T6" s="106">
        <f>IFERROR(VLOOKUP(D6,'Data - Data Feed Market'!$A$2:$K$29,11,FALSE),"")</f>
        <v>1.0913900000000001</v>
      </c>
      <c r="U6" s="77"/>
      <c r="V6" s="152"/>
      <c r="W6" s="153">
        <f>IFERROR(VLOOKUP(D6,'Data - Data Feed Market'!A:K,2,FALSE),"")</f>
        <v>43976.800694444442</v>
      </c>
    </row>
    <row r="7" spans="1:23" x14ac:dyDescent="0.3">
      <c r="B7" s="172"/>
      <c r="C7" s="35">
        <v>2</v>
      </c>
      <c r="D7" s="147" t="s">
        <v>27</v>
      </c>
      <c r="E7" s="2"/>
      <c r="F7" s="125">
        <f>IFERROR(VLOOKUP(D7,'Data - Data Feed Market'!$A$2:$F$29,3,FALSE),"")</f>
        <v>0.97077000000000002</v>
      </c>
      <c r="G7" s="119">
        <f t="shared" si="0"/>
        <v>0.97087000000000001</v>
      </c>
      <c r="H7" s="175"/>
      <c r="I7" s="120">
        <f>IFERROR(VLOOKUP(D7,'Data - Data Feed Market'!$A$2:$F$29,5,FALSE),"")</f>
        <v>1.9999999999997797</v>
      </c>
      <c r="J7" s="126">
        <f>IFERROR(VLOOKUP(D7,'Data - Data Feed Market'!$A$2:$F$29,4,FALSE),"")</f>
        <v>0.97097</v>
      </c>
      <c r="K7" s="86"/>
      <c r="L7" s="98">
        <f>IFERROR(VLOOKUP(D7,'Data - Data Feed Market'!$A$2:$K$29,10,FALSE),"")</f>
        <v>0.97036</v>
      </c>
      <c r="M7" s="99">
        <f t="shared" si="1"/>
        <v>5.1000000000001044</v>
      </c>
      <c r="N7" s="49">
        <f t="shared" si="2"/>
        <v>0.83809523809523401</v>
      </c>
      <c r="O7" s="49">
        <f>IFERROR(IF(N7&gt;50%,N7*-1,""),"")</f>
        <v>-0.83809523809523401</v>
      </c>
      <c r="P7" s="116">
        <f t="shared" si="3"/>
        <v>31.499999999999861</v>
      </c>
      <c r="Q7" s="74" t="str">
        <f>IFERROR(IF(R7&gt;50%,R7,""),"")</f>
        <v/>
      </c>
      <c r="R7" s="74">
        <f t="shared" si="4"/>
        <v>0.16190476190476588</v>
      </c>
      <c r="S7" s="107">
        <f t="shared" si="5"/>
        <v>26.399999999999757</v>
      </c>
      <c r="T7" s="108">
        <f>IFERROR(VLOOKUP(D7,'Data - Data Feed Market'!$A$2:$K$29,11,FALSE),"")</f>
        <v>0.97350999999999999</v>
      </c>
      <c r="U7" s="51"/>
      <c r="V7" s="154"/>
      <c r="W7" s="155">
        <f>IFERROR(VLOOKUP(D7,'Data - Data Feed Market'!A:K,2,FALSE),"")</f>
        <v>43976.799305555556</v>
      </c>
    </row>
    <row r="8" spans="1:23" ht="14.4" customHeight="1" x14ac:dyDescent="0.3">
      <c r="B8" s="172"/>
      <c r="C8" s="35">
        <v>3</v>
      </c>
      <c r="D8" s="148" t="s">
        <v>25</v>
      </c>
      <c r="E8" s="11"/>
      <c r="F8" s="125">
        <f>IFERROR(VLOOKUP(D8,'Data - Data Feed Market'!$A$2:$F$29,3,FALSE),"")</f>
        <v>1.2196</v>
      </c>
      <c r="G8" s="119">
        <f t="shared" si="0"/>
        <v>1.219705</v>
      </c>
      <c r="H8" s="175"/>
      <c r="I8" s="120">
        <f>IFERROR(VLOOKUP(D8,'Data - Data Feed Market'!$A$2:$F$29,5,FALSE),"")</f>
        <v>2.1000000000004349</v>
      </c>
      <c r="J8" s="126">
        <f>IFERROR(VLOOKUP(D8,'Data - Data Feed Market'!$A$2:$F$29,4,FALSE),"")</f>
        <v>1.2198100000000001</v>
      </c>
      <c r="K8" s="86"/>
      <c r="L8" s="98">
        <f>IFERROR(VLOOKUP(D8,'Data - Data Feed Market'!$A$2:$K$29,10,FALSE),"")</f>
        <v>1.21593</v>
      </c>
      <c r="M8" s="99">
        <f t="shared" si="1"/>
        <v>37.750000000000838</v>
      </c>
      <c r="N8" s="49">
        <f t="shared" si="2"/>
        <v>0.13812785388126936</v>
      </c>
      <c r="O8" s="49" t="str">
        <f t="shared" ref="O8:O33" si="6">IFERROR(IF(N8&gt;50%,N8*-1,""),"")</f>
        <v/>
      </c>
      <c r="P8" s="116">
        <f t="shared" si="3"/>
        <v>43.800000000000509</v>
      </c>
      <c r="Q8" s="74">
        <f t="shared" ref="Q8:Q33" si="7">IFERROR(IF(R8&gt;50%,R8,""),"")</f>
        <v>0.86187214611873064</v>
      </c>
      <c r="R8" s="74">
        <f t="shared" si="4"/>
        <v>0.86187214611873064</v>
      </c>
      <c r="S8" s="107">
        <f t="shared" si="5"/>
        <v>6.0499999999996668</v>
      </c>
      <c r="T8" s="108">
        <f>IFERROR(VLOOKUP(D8,'Data - Data Feed Market'!$A$2:$K$29,11,FALSE),"")</f>
        <v>1.22031</v>
      </c>
      <c r="U8" s="51"/>
      <c r="V8" s="154"/>
      <c r="W8" s="155">
        <f>IFERROR(VLOOKUP(D8,'Data - Data Feed Market'!A:K,2,FALSE),"")</f>
        <v>43976.800000000003</v>
      </c>
    </row>
    <row r="9" spans="1:23" ht="14.4" customHeight="1" x14ac:dyDescent="0.3">
      <c r="B9" s="172"/>
      <c r="C9" s="35">
        <v>4</v>
      </c>
      <c r="D9" s="147" t="s">
        <v>17</v>
      </c>
      <c r="E9" s="2"/>
      <c r="F9" s="127">
        <f>IFERROR(VLOOKUP(D9,'Data - Data Feed Market'!$A$2:$F$29,3,FALSE),"")</f>
        <v>107.68600000000001</v>
      </c>
      <c r="G9" s="119">
        <f t="shared" si="0"/>
        <v>107.694</v>
      </c>
      <c r="H9" s="175"/>
      <c r="I9" s="120">
        <f>IFERROR(VLOOKUP(D9,'Data - Data Feed Market'!$A$2:$F$29,5,FALSE),"")</f>
        <v>1.5999999999991132</v>
      </c>
      <c r="J9" s="128">
        <f>IFERROR(VLOOKUP(D9,'Data - Data Feed Market'!$A$2:$F$29,4,FALSE),"")</f>
        <v>107.702</v>
      </c>
      <c r="K9" s="86"/>
      <c r="L9" s="100">
        <f>IFERROR(VLOOKUP(D9,'Data - Data Feed Market'!$A$2:$K$29,10,FALSE),"")</f>
        <v>107.517</v>
      </c>
      <c r="M9" s="99">
        <f t="shared" si="1"/>
        <v>17.700000000000671</v>
      </c>
      <c r="N9" s="49">
        <f t="shared" si="2"/>
        <v>0.31660231660229166</v>
      </c>
      <c r="O9" s="49" t="str">
        <f t="shared" si="6"/>
        <v/>
      </c>
      <c r="P9" s="116">
        <f t="shared" si="3"/>
        <v>25.900000000000034</v>
      </c>
      <c r="Q9" s="74">
        <f t="shared" si="7"/>
        <v>0.68339768339770846</v>
      </c>
      <c r="R9" s="74">
        <f t="shared" si="4"/>
        <v>0.68339768339770846</v>
      </c>
      <c r="S9" s="107">
        <f t="shared" si="5"/>
        <v>8.1999999999993634</v>
      </c>
      <c r="T9" s="109">
        <f>IFERROR(VLOOKUP(D9,'Data - Data Feed Market'!$A$2:$K$29,11,FALSE),"")</f>
        <v>107.776</v>
      </c>
      <c r="U9" s="52"/>
      <c r="V9" s="154"/>
      <c r="W9" s="155">
        <f>IFERROR(VLOOKUP(D9,'Data - Data Feed Market'!A:K,2,FALSE),"")</f>
        <v>43976.800000000003</v>
      </c>
    </row>
    <row r="10" spans="1:23" ht="14.4" customHeight="1" x14ac:dyDescent="0.3">
      <c r="B10" s="172"/>
      <c r="C10" s="35">
        <v>5</v>
      </c>
      <c r="D10" s="147" t="s">
        <v>26</v>
      </c>
      <c r="E10" s="2"/>
      <c r="F10" s="125">
        <f>IFERROR(VLOOKUP(D10,'Data - Data Feed Market'!$A$2:$F$29,3,FALSE),"")</f>
        <v>0.65466000000000002</v>
      </c>
      <c r="G10" s="119">
        <f t="shared" si="0"/>
        <v>0.65473999999999999</v>
      </c>
      <c r="H10" s="175"/>
      <c r="I10" s="120">
        <f>IFERROR(VLOOKUP(D10,'Data - Data Feed Market'!$A$2:$F$29,5,FALSE),"")</f>
        <v>1.5999999999993797</v>
      </c>
      <c r="J10" s="126">
        <f>IFERROR(VLOOKUP(D10,'Data - Data Feed Market'!$A$2:$F$29,4,FALSE),"")</f>
        <v>0.65481999999999996</v>
      </c>
      <c r="K10" s="86"/>
      <c r="L10" s="98">
        <f>IFERROR(VLOOKUP(D10,'Data - Data Feed Market'!$A$2:$K$29,10,FALSE),"")</f>
        <v>0.65192000000000005</v>
      </c>
      <c r="M10" s="99">
        <f t="shared" si="1"/>
        <v>28.199999999999335</v>
      </c>
      <c r="N10" s="49">
        <f t="shared" si="2"/>
        <v>5.9999999999988174E-2</v>
      </c>
      <c r="O10" s="49" t="str">
        <f t="shared" si="6"/>
        <v/>
      </c>
      <c r="P10" s="116">
        <f t="shared" si="3"/>
        <v>29.999999999998916</v>
      </c>
      <c r="Q10" s="74">
        <f t="shared" si="7"/>
        <v>0.94000000000001183</v>
      </c>
      <c r="R10" s="74">
        <f t="shared" si="4"/>
        <v>0.94000000000001183</v>
      </c>
      <c r="S10" s="107">
        <f t="shared" si="5"/>
        <v>1.7999999999995797</v>
      </c>
      <c r="T10" s="108">
        <f>IFERROR(VLOOKUP(D10,'Data - Data Feed Market'!$A$2:$K$29,11,FALSE),"")</f>
        <v>0.65491999999999995</v>
      </c>
      <c r="U10" s="51"/>
      <c r="V10" s="154"/>
      <c r="W10" s="155">
        <f>IFERROR(VLOOKUP(D10,'Data - Data Feed Market'!A:K,2,FALSE),"")</f>
        <v>43976.799305555556</v>
      </c>
    </row>
    <row r="11" spans="1:23" ht="14.4" customHeight="1" x14ac:dyDescent="0.3">
      <c r="B11" s="172"/>
      <c r="C11" s="35">
        <v>6</v>
      </c>
      <c r="D11" s="147" t="s">
        <v>12</v>
      </c>
      <c r="E11" s="2"/>
      <c r="F11" s="125">
        <f>IFERROR(VLOOKUP(D11,'Data - Data Feed Market'!$A$2:$F$29,3,FALSE),"")</f>
        <v>1.3969</v>
      </c>
      <c r="G11" s="119">
        <f t="shared" si="0"/>
        <v>1.396995</v>
      </c>
      <c r="H11" s="175"/>
      <c r="I11" s="120">
        <f>IFERROR(VLOOKUP(D11,'Data - Data Feed Market'!$A$2:$F$29,5,FALSE),"")</f>
        <v>1.8999999999991246</v>
      </c>
      <c r="J11" s="126">
        <f>IFERROR(VLOOKUP(D11,'Data - Data Feed Market'!$A$2:$F$29,4,FALSE),"")</f>
        <v>1.3970899999999999</v>
      </c>
      <c r="K11" s="86"/>
      <c r="L11" s="98">
        <f>IFERROR(VLOOKUP(D11,'Data - Data Feed Market'!$A$2:$K$29,10,FALSE),"")</f>
        <v>1.39673</v>
      </c>
      <c r="M11" s="99">
        <f t="shared" si="1"/>
        <v>2.6499999999995971</v>
      </c>
      <c r="N11" s="49">
        <f t="shared" si="2"/>
        <v>0.9329113924050717</v>
      </c>
      <c r="O11" s="49">
        <f t="shared" si="6"/>
        <v>-0.9329113924050717</v>
      </c>
      <c r="P11" s="116">
        <f t="shared" si="3"/>
        <v>39.499999999998977</v>
      </c>
      <c r="Q11" s="74" t="str">
        <f t="shared" si="7"/>
        <v/>
      </c>
      <c r="R11" s="74">
        <f t="shared" si="4"/>
        <v>6.7088607594928185E-2</v>
      </c>
      <c r="S11" s="107">
        <f t="shared" si="5"/>
        <v>36.849999999999383</v>
      </c>
      <c r="T11" s="108">
        <f>IFERROR(VLOOKUP(D11,'Data - Data Feed Market'!$A$2:$K$29,11,FALSE),"")</f>
        <v>1.4006799999999999</v>
      </c>
      <c r="U11" s="51"/>
      <c r="V11" s="154"/>
      <c r="W11" s="155">
        <f>IFERROR(VLOOKUP(D11,'Data - Data Feed Market'!A:K,2,FALSE),"")</f>
        <v>43976.800000000003</v>
      </c>
    </row>
    <row r="12" spans="1:23" ht="14.4" customHeight="1" x14ac:dyDescent="0.3">
      <c r="B12" s="173"/>
      <c r="C12" s="78">
        <v>7</v>
      </c>
      <c r="D12" s="149" t="s">
        <v>24</v>
      </c>
      <c r="E12" s="7"/>
      <c r="F12" s="133">
        <f>IFERROR(VLOOKUP(D12,'Data - Data Feed Market'!$A$2:$F$29,3,FALSE),"")</f>
        <v>0.61002999999999996</v>
      </c>
      <c r="G12" s="134">
        <f t="shared" si="0"/>
        <v>0.61012500000000003</v>
      </c>
      <c r="H12" s="176"/>
      <c r="I12" s="135">
        <f>IFERROR(VLOOKUP(D12,'Data - Data Feed Market'!$A$2:$F$29,5,FALSE),"")</f>
        <v>1.9000000000002348</v>
      </c>
      <c r="J12" s="136">
        <f>IFERROR(VLOOKUP(D12,'Data - Data Feed Market'!$A$2:$F$29,4,FALSE),"")</f>
        <v>0.61021999999999998</v>
      </c>
      <c r="K12" s="86"/>
      <c r="L12" s="101">
        <f>IFERROR(VLOOKUP(D12,'Data - Data Feed Market'!$A$2:$K$29,10,FALSE),"")</f>
        <v>0.60812999999999995</v>
      </c>
      <c r="M12" s="102">
        <f t="shared" si="1"/>
        <v>19.950000000000799</v>
      </c>
      <c r="N12" s="94">
        <f t="shared" si="2"/>
        <v>0.24431818181817633</v>
      </c>
      <c r="O12" s="94" t="str">
        <f t="shared" si="6"/>
        <v/>
      </c>
      <c r="P12" s="118">
        <f t="shared" si="3"/>
        <v>26.400000000000865</v>
      </c>
      <c r="Q12" s="95">
        <f t="shared" si="7"/>
        <v>0.75568181818182367</v>
      </c>
      <c r="R12" s="95">
        <f t="shared" si="4"/>
        <v>0.75568181818182367</v>
      </c>
      <c r="S12" s="110">
        <f t="shared" si="5"/>
        <v>6.4500000000000668</v>
      </c>
      <c r="T12" s="111">
        <f>IFERROR(VLOOKUP(D12,'Data - Data Feed Market'!$A$2:$K$29,11,FALSE),"")</f>
        <v>0.61077000000000004</v>
      </c>
      <c r="U12" s="79"/>
      <c r="V12" s="156"/>
      <c r="W12" s="157">
        <f>IFERROR(VLOOKUP(D12,'Data - Data Feed Market'!A:K,2,FALSE),"")</f>
        <v>43976.799305555556</v>
      </c>
    </row>
    <row r="13" spans="1:23" ht="14.4" customHeight="1" x14ac:dyDescent="0.3">
      <c r="B13" s="182" t="s">
        <v>3</v>
      </c>
      <c r="C13" s="34">
        <v>8</v>
      </c>
      <c r="D13" s="146" t="s">
        <v>33</v>
      </c>
      <c r="E13" s="76"/>
      <c r="F13" s="121">
        <f>IFERROR(VLOOKUP(D13,'Data - Data Feed Market'!$A$2:$F$29,3,FALSE),"")</f>
        <v>0.89324000000000003</v>
      </c>
      <c r="G13" s="122">
        <f t="shared" si="0"/>
        <v>0.89334000000000002</v>
      </c>
      <c r="H13" s="174">
        <f>AVERAGE(I13:I17)</f>
        <v>2.7400000000001867</v>
      </c>
      <c r="I13" s="123">
        <f>IFERROR(VLOOKUP(D13,'Data - Data Feed Market'!$A$2:$F$29,5,FALSE),"")</f>
        <v>1.9999999999997797</v>
      </c>
      <c r="J13" s="124">
        <f>IFERROR(VLOOKUP(D13,'Data - Data Feed Market'!$A$2:$F$29,4,FALSE),"")</f>
        <v>0.89344000000000001</v>
      </c>
      <c r="K13" s="85"/>
      <c r="L13" s="103">
        <f>IFERROR(VLOOKUP(D13,'Data - Data Feed Market'!$A$2:$K$29,10,FALSE),"")</f>
        <v>0.89273000000000002</v>
      </c>
      <c r="M13" s="99">
        <f t="shared" si="1"/>
        <v>6.0999999999999943</v>
      </c>
      <c r="N13" s="49">
        <f t="shared" si="2"/>
        <v>0.81681681681681395</v>
      </c>
      <c r="O13" s="49">
        <f t="shared" si="6"/>
        <v>-0.81681681681681395</v>
      </c>
      <c r="P13" s="116">
        <f t="shared" si="3"/>
        <v>33.299999999999443</v>
      </c>
      <c r="Q13" s="74" t="str">
        <f t="shared" si="7"/>
        <v/>
      </c>
      <c r="R13" s="74">
        <f t="shared" si="4"/>
        <v>0.18318318318318605</v>
      </c>
      <c r="S13" s="107">
        <f t="shared" si="5"/>
        <v>27.199999999999449</v>
      </c>
      <c r="T13" s="112">
        <f>IFERROR(VLOOKUP(D13,'Data - Data Feed Market'!$A$2:$K$29,11,FALSE),"")</f>
        <v>0.89605999999999997</v>
      </c>
      <c r="U13" s="77"/>
      <c r="V13" s="154"/>
      <c r="W13" s="159">
        <f>IFERROR(VLOOKUP(D13,'Data - Data Feed Market'!A:K,2,FALSE),"")</f>
        <v>43976.800000000003</v>
      </c>
    </row>
    <row r="14" spans="1:23" ht="14.4" customHeight="1" x14ac:dyDescent="0.3">
      <c r="B14" s="183"/>
      <c r="C14" s="35">
        <v>9</v>
      </c>
      <c r="D14" s="147" t="s">
        <v>11</v>
      </c>
      <c r="E14" s="2"/>
      <c r="F14" s="125">
        <f>IFERROR(VLOOKUP(D14,'Data - Data Feed Market'!$A$2:$F$29,3,FALSE),"")</f>
        <v>1.6639999999999999</v>
      </c>
      <c r="G14" s="119">
        <f t="shared" si="0"/>
        <v>1.6641300000000001</v>
      </c>
      <c r="H14" s="175"/>
      <c r="I14" s="120">
        <f>IFERROR(VLOOKUP(D14,'Data - Data Feed Market'!$A$2:$F$29,5,FALSE),"")</f>
        <v>2.60000000000149</v>
      </c>
      <c r="J14" s="126">
        <f>IFERROR(VLOOKUP(D14,'Data - Data Feed Market'!$A$2:$F$29,4,FALSE),"")</f>
        <v>1.6642600000000001</v>
      </c>
      <c r="K14" s="86"/>
      <c r="L14" s="103">
        <f>IFERROR(VLOOKUP(D14,'Data - Data Feed Market'!$A$2:$K$29,10,FALSE),"")</f>
        <v>1.66351</v>
      </c>
      <c r="M14" s="99">
        <f t="shared" si="1"/>
        <v>6.2000000000006494</v>
      </c>
      <c r="N14" s="49">
        <f t="shared" si="2"/>
        <v>0.90577507598783247</v>
      </c>
      <c r="O14" s="49">
        <f t="shared" si="6"/>
        <v>-0.90577507598783247</v>
      </c>
      <c r="P14" s="116">
        <f t="shared" si="3"/>
        <v>65.800000000000296</v>
      </c>
      <c r="Q14" s="74" t="str">
        <f t="shared" si="7"/>
        <v/>
      </c>
      <c r="R14" s="74">
        <f t="shared" si="4"/>
        <v>9.4224924012167421E-2</v>
      </c>
      <c r="S14" s="107">
        <f t="shared" si="5"/>
        <v>59.599999999999653</v>
      </c>
      <c r="T14" s="112">
        <f>IFERROR(VLOOKUP(D14,'Data - Data Feed Market'!$A$2:$K$29,11,FALSE),"")</f>
        <v>1.6700900000000001</v>
      </c>
      <c r="U14" s="51"/>
      <c r="V14" s="154"/>
      <c r="W14" s="155">
        <f>IFERROR(VLOOKUP(D14,'Data - Data Feed Market'!A:K,2,FALSE),"")</f>
        <v>43976.800000000003</v>
      </c>
    </row>
    <row r="15" spans="1:23" ht="14.4" customHeight="1" x14ac:dyDescent="0.3">
      <c r="B15" s="183"/>
      <c r="C15" s="35">
        <v>10</v>
      </c>
      <c r="D15" s="147" t="s">
        <v>15</v>
      </c>
      <c r="E15" s="2"/>
      <c r="F15" s="125">
        <f>IFERROR(VLOOKUP(D15,'Data - Data Feed Market'!$A$2:$F$29,3,FALSE),"")</f>
        <v>1.5220100000000001</v>
      </c>
      <c r="G15" s="119">
        <f t="shared" si="0"/>
        <v>1.5221550000000001</v>
      </c>
      <c r="H15" s="175"/>
      <c r="I15" s="120">
        <f>IFERROR(VLOOKUP(D15,'Data - Data Feed Market'!$A$2:$F$29,5,FALSE),"")</f>
        <v>2.8999999999990145</v>
      </c>
      <c r="J15" s="126">
        <f>IFERROR(VLOOKUP(D15,'Data - Data Feed Market'!$A$2:$F$29,4,FALSE),"")</f>
        <v>1.5223</v>
      </c>
      <c r="K15" s="86"/>
      <c r="L15" s="103">
        <f>IFERROR(VLOOKUP(D15,'Data - Data Feed Market'!$A$2:$K$29,10,FALSE),"")</f>
        <v>1.52138</v>
      </c>
      <c r="M15" s="99">
        <f t="shared" si="1"/>
        <v>7.750000000001922</v>
      </c>
      <c r="N15" s="49">
        <f t="shared" si="2"/>
        <v>0.84530938123748534</v>
      </c>
      <c r="O15" s="49">
        <f t="shared" si="6"/>
        <v>-0.84530938123748534</v>
      </c>
      <c r="P15" s="116">
        <f t="shared" si="3"/>
        <v>50.099999999999589</v>
      </c>
      <c r="Q15" s="74" t="str">
        <f t="shared" si="7"/>
        <v/>
      </c>
      <c r="R15" s="74">
        <f t="shared" si="4"/>
        <v>0.15469061876251478</v>
      </c>
      <c r="S15" s="107">
        <f t="shared" si="5"/>
        <v>42.349999999997664</v>
      </c>
      <c r="T15" s="112">
        <f>IFERROR(VLOOKUP(D15,'Data - Data Feed Market'!$A$2:$K$29,11,FALSE),"")</f>
        <v>1.5263899999999999</v>
      </c>
      <c r="U15" s="51"/>
      <c r="V15" s="154"/>
      <c r="W15" s="155">
        <f>IFERROR(VLOOKUP(D15,'Data - Data Feed Market'!A:K,2,FALSE),"")</f>
        <v>43976.800694444442</v>
      </c>
    </row>
    <row r="16" spans="1:23" ht="14.4" customHeight="1" x14ac:dyDescent="0.3">
      <c r="B16" s="183"/>
      <c r="C16" s="35">
        <v>11</v>
      </c>
      <c r="D16" s="147" t="s">
        <v>30</v>
      </c>
      <c r="E16" s="2"/>
      <c r="F16" s="125">
        <f>IFERROR(VLOOKUP(D16,'Data - Data Feed Market'!$A$2:$F$29,3,FALSE),"")</f>
        <v>1.05772</v>
      </c>
      <c r="G16" s="119">
        <f t="shared" si="0"/>
        <v>1.057825</v>
      </c>
      <c r="H16" s="175"/>
      <c r="I16" s="120">
        <f>IFERROR(VLOOKUP(D16,'Data - Data Feed Market'!$A$2:$F$29,5,FALSE),"")</f>
        <v>2.1000000000004349</v>
      </c>
      <c r="J16" s="126">
        <f>IFERROR(VLOOKUP(D16,'Data - Data Feed Market'!$A$2:$F$29,4,FALSE),"")</f>
        <v>1.05793</v>
      </c>
      <c r="K16" s="86"/>
      <c r="L16" s="103">
        <f>IFERROR(VLOOKUP(D16,'Data - Data Feed Market'!$A$2:$K$29,10,FALSE),"")</f>
        <v>1.05759</v>
      </c>
      <c r="M16" s="99">
        <f t="shared" si="1"/>
        <v>2.3499999999998522</v>
      </c>
      <c r="N16" s="49">
        <f t="shared" si="2"/>
        <v>0.89220183486239557</v>
      </c>
      <c r="O16" s="49">
        <f t="shared" si="6"/>
        <v>-0.89220183486239557</v>
      </c>
      <c r="P16" s="116">
        <f t="shared" si="3"/>
        <v>21.800000000000708</v>
      </c>
      <c r="Q16" s="74" t="str">
        <f t="shared" si="7"/>
        <v/>
      </c>
      <c r="R16" s="74">
        <f t="shared" si="4"/>
        <v>0.10779816513760443</v>
      </c>
      <c r="S16" s="107">
        <f t="shared" si="5"/>
        <v>19.450000000000855</v>
      </c>
      <c r="T16" s="112">
        <f>IFERROR(VLOOKUP(D16,'Data - Data Feed Market'!$A$2:$K$29,11,FALSE),"")</f>
        <v>1.0597700000000001</v>
      </c>
      <c r="U16" s="51"/>
      <c r="V16" s="154"/>
      <c r="W16" s="155">
        <f>IFERROR(VLOOKUP(D16,'Data - Data Feed Market'!A:K,2,FALSE),"")</f>
        <v>43976.799305555556</v>
      </c>
    </row>
    <row r="17" spans="2:23" ht="14.4" customHeight="1" x14ac:dyDescent="0.3">
      <c r="B17" s="184"/>
      <c r="C17" s="78">
        <v>12</v>
      </c>
      <c r="D17" s="149" t="s">
        <v>8</v>
      </c>
      <c r="E17" s="7"/>
      <c r="F17" s="129">
        <f>IFERROR(VLOOKUP(D17,'Data - Data Feed Market'!$A$2:$F$29,3,FALSE),"")</f>
        <v>1.78566</v>
      </c>
      <c r="G17" s="130">
        <f t="shared" si="0"/>
        <v>1.785865</v>
      </c>
      <c r="H17" s="181"/>
      <c r="I17" s="131">
        <f>IFERROR(VLOOKUP(D17,'Data - Data Feed Market'!$A$2:$F$29,5,FALSE),"")</f>
        <v>4.1000000000002146</v>
      </c>
      <c r="J17" s="132">
        <f>IFERROR(VLOOKUP(D17,'Data - Data Feed Market'!$A$2:$F$29,4,FALSE),"")</f>
        <v>1.78607</v>
      </c>
      <c r="K17" s="87"/>
      <c r="L17" s="103">
        <f>IFERROR(VLOOKUP(D17,'Data - Data Feed Market'!$A$2:$K$29,10,FALSE),"")</f>
        <v>1.7845500000000001</v>
      </c>
      <c r="M17" s="99">
        <f t="shared" si="1"/>
        <v>13.149999999999551</v>
      </c>
      <c r="N17" s="49">
        <f t="shared" si="2"/>
        <v>0.77787162162162637</v>
      </c>
      <c r="O17" s="49">
        <f t="shared" si="6"/>
        <v>-0.77787162162162637</v>
      </c>
      <c r="P17" s="118">
        <f t="shared" si="3"/>
        <v>59.19999999999925</v>
      </c>
      <c r="Q17" s="74" t="str">
        <f t="shared" si="7"/>
        <v/>
      </c>
      <c r="R17" s="74">
        <f t="shared" si="4"/>
        <v>0.22212837837837363</v>
      </c>
      <c r="S17" s="107">
        <f t="shared" si="5"/>
        <v>46.049999999999699</v>
      </c>
      <c r="T17" s="112">
        <f>IFERROR(VLOOKUP(D17,'Data - Data Feed Market'!$A$2:$K$29,11,FALSE),"")</f>
        <v>1.79047</v>
      </c>
      <c r="U17" s="79"/>
      <c r="V17" s="154"/>
      <c r="W17" s="158">
        <f>IFERROR(VLOOKUP(D17,'Data - Data Feed Market'!A:K,2,FALSE),"")</f>
        <v>43976.800694444442</v>
      </c>
    </row>
    <row r="18" spans="2:23" ht="14.4" customHeight="1" x14ac:dyDescent="0.3">
      <c r="B18" s="185" t="s">
        <v>2</v>
      </c>
      <c r="C18" s="34">
        <v>13</v>
      </c>
      <c r="D18" s="146" t="s">
        <v>10</v>
      </c>
      <c r="E18" s="76"/>
      <c r="F18" s="137">
        <f>IFERROR(VLOOKUP(D18,'Data - Data Feed Market'!$A$2:$F$29,3,FALSE),"")</f>
        <v>1.8626799999999999</v>
      </c>
      <c r="G18" s="138">
        <f t="shared" si="0"/>
        <v>1.8628800000000001</v>
      </c>
      <c r="H18" s="180">
        <f>AVERAGE(I18:I21)</f>
        <v>4.0750000000000508</v>
      </c>
      <c r="I18" s="139">
        <f>IFERROR(VLOOKUP(D18,'Data - Data Feed Market'!$A$2:$F$29,5,FALSE),"")</f>
        <v>4.0000000000017799</v>
      </c>
      <c r="J18" s="140">
        <f>IFERROR(VLOOKUP(D18,'Data - Data Feed Market'!$A$2:$F$29,4,FALSE),"")</f>
        <v>1.8630800000000001</v>
      </c>
      <c r="K18" s="86"/>
      <c r="L18" s="96">
        <f>IFERROR(VLOOKUP(D18,'Data - Data Feed Market'!$A$2:$K$29,10,FALSE),"")</f>
        <v>1.86043</v>
      </c>
      <c r="M18" s="97">
        <f t="shared" si="1"/>
        <v>24.500000000000632</v>
      </c>
      <c r="N18" s="92">
        <f t="shared" si="2"/>
        <v>0.59637561779241266</v>
      </c>
      <c r="O18" s="92">
        <f t="shared" si="6"/>
        <v>-0.59637561779241266</v>
      </c>
      <c r="P18" s="116">
        <f t="shared" si="3"/>
        <v>60.700000000000202</v>
      </c>
      <c r="Q18" s="93" t="str">
        <f t="shared" si="7"/>
        <v/>
      </c>
      <c r="R18" s="93">
        <f t="shared" si="4"/>
        <v>0.40362438220758745</v>
      </c>
      <c r="S18" s="105">
        <f t="shared" si="5"/>
        <v>36.199999999999562</v>
      </c>
      <c r="T18" s="106">
        <f>IFERROR(VLOOKUP(D18,'Data - Data Feed Market'!$A$2:$K$29,11,FALSE),"")</f>
        <v>1.8665</v>
      </c>
      <c r="U18" s="77"/>
      <c r="V18" s="152"/>
      <c r="W18" s="153">
        <f>IFERROR(VLOOKUP(D18,'Data - Data Feed Market'!A:K,2,FALSE),"")</f>
        <v>43976.800694444442</v>
      </c>
    </row>
    <row r="19" spans="2:23" ht="14.4" customHeight="1" x14ac:dyDescent="0.3">
      <c r="B19" s="186"/>
      <c r="C19" s="35">
        <v>14</v>
      </c>
      <c r="D19" s="147" t="s">
        <v>14</v>
      </c>
      <c r="E19" s="2"/>
      <c r="F19" s="125">
        <f>IFERROR(VLOOKUP(D19,'Data - Data Feed Market'!$A$2:$F$29,3,FALSE),"")</f>
        <v>1.7037599999999999</v>
      </c>
      <c r="G19" s="119">
        <f t="shared" si="0"/>
        <v>1.703965</v>
      </c>
      <c r="H19" s="175"/>
      <c r="I19" s="120">
        <f>IFERROR(VLOOKUP(D19,'Data - Data Feed Market'!$A$2:$F$29,5,FALSE),"")</f>
        <v>4.1000000000002146</v>
      </c>
      <c r="J19" s="126">
        <f>IFERROR(VLOOKUP(D19,'Data - Data Feed Market'!$A$2:$F$29,4,FALSE),"")</f>
        <v>1.70417</v>
      </c>
      <c r="K19" s="86"/>
      <c r="L19" s="98">
        <f>IFERROR(VLOOKUP(D19,'Data - Data Feed Market'!$A$2:$K$29,10,FALSE),"")</f>
        <v>1.7017</v>
      </c>
      <c r="M19" s="99">
        <f t="shared" si="1"/>
        <v>22.649999999999615</v>
      </c>
      <c r="N19" s="49">
        <f t="shared" si="2"/>
        <v>0.49778270509978828</v>
      </c>
      <c r="O19" s="49" t="str">
        <f t="shared" si="6"/>
        <v/>
      </c>
      <c r="P19" s="116">
        <f t="shared" si="3"/>
        <v>45.100000000000136</v>
      </c>
      <c r="Q19" s="74">
        <f t="shared" si="7"/>
        <v>0.50221729490021161</v>
      </c>
      <c r="R19" s="74">
        <f t="shared" si="4"/>
        <v>0.50221729490021161</v>
      </c>
      <c r="S19" s="107">
        <f t="shared" si="5"/>
        <v>22.450000000000525</v>
      </c>
      <c r="T19" s="108">
        <f>IFERROR(VLOOKUP(D19,'Data - Data Feed Market'!$A$2:$K$29,11,FALSE),"")</f>
        <v>1.70621</v>
      </c>
      <c r="U19" s="51"/>
      <c r="V19" s="154"/>
      <c r="W19" s="155">
        <f>IFERROR(VLOOKUP(D19,'Data - Data Feed Market'!A:K,2,FALSE),"")</f>
        <v>43976.800694444442</v>
      </c>
    </row>
    <row r="20" spans="2:23" ht="14.4" customHeight="1" x14ac:dyDescent="0.3">
      <c r="B20" s="186"/>
      <c r="C20" s="35">
        <v>15</v>
      </c>
      <c r="D20" s="147" t="s">
        <v>29</v>
      </c>
      <c r="E20" s="2"/>
      <c r="F20" s="125">
        <f>IFERROR(VLOOKUP(D20,'Data - Data Feed Market'!$A$2:$F$29,3,FALSE),"")</f>
        <v>1.1840200000000001</v>
      </c>
      <c r="G20" s="119">
        <f t="shared" si="0"/>
        <v>1.18415</v>
      </c>
      <c r="H20" s="175"/>
      <c r="I20" s="120">
        <f>IFERROR(VLOOKUP(D20,'Data - Data Feed Market'!$A$2:$F$29,5,FALSE),"")</f>
        <v>2.5999999999992696</v>
      </c>
      <c r="J20" s="126">
        <f>IFERROR(VLOOKUP(D20,'Data - Data Feed Market'!$A$2:$F$29,4,FALSE),"")</f>
        <v>1.18428</v>
      </c>
      <c r="K20" s="86"/>
      <c r="L20" s="98">
        <f>IFERROR(VLOOKUP(D20,'Data - Data Feed Market'!$A$2:$K$29,10,FALSE),"")</f>
        <v>1.1817299999999999</v>
      </c>
      <c r="M20" s="99">
        <f t="shared" si="1"/>
        <v>24.200000000000887</v>
      </c>
      <c r="N20" s="49">
        <f t="shared" si="2"/>
        <v>0.35466666666666746</v>
      </c>
      <c r="O20" s="49" t="str">
        <f t="shared" si="6"/>
        <v/>
      </c>
      <c r="P20" s="116">
        <f t="shared" si="3"/>
        <v>37.500000000001421</v>
      </c>
      <c r="Q20" s="74">
        <f t="shared" si="7"/>
        <v>0.64533333333333254</v>
      </c>
      <c r="R20" s="74">
        <f t="shared" si="4"/>
        <v>0.64533333333333254</v>
      </c>
      <c r="S20" s="107">
        <f t="shared" si="5"/>
        <v>13.300000000000534</v>
      </c>
      <c r="T20" s="108">
        <f>IFERROR(VLOOKUP(D20,'Data - Data Feed Market'!$A$2:$K$29,11,FALSE),"")</f>
        <v>1.1854800000000001</v>
      </c>
      <c r="U20" s="51"/>
      <c r="V20" s="154"/>
      <c r="W20" s="155">
        <f>IFERROR(VLOOKUP(D20,'Data - Data Feed Market'!A:K,2,FALSE),"")</f>
        <v>43976.800694444442</v>
      </c>
    </row>
    <row r="21" spans="2:23" ht="14.4" customHeight="1" x14ac:dyDescent="0.3">
      <c r="B21" s="187"/>
      <c r="C21" s="78">
        <v>16</v>
      </c>
      <c r="D21" s="149" t="s">
        <v>7</v>
      </c>
      <c r="E21" s="7"/>
      <c r="F21" s="133">
        <f>IFERROR(VLOOKUP(D21,'Data - Data Feed Market'!$A$2:$F$29,3,FALSE),"")</f>
        <v>1.9988600000000001</v>
      </c>
      <c r="G21" s="134">
        <f t="shared" si="0"/>
        <v>1.9991400000000001</v>
      </c>
      <c r="H21" s="176"/>
      <c r="I21" s="135">
        <f>IFERROR(VLOOKUP(D21,'Data - Data Feed Market'!$A$2:$F$29,5,FALSE),"")</f>
        <v>5.5999999999989392</v>
      </c>
      <c r="J21" s="136">
        <f>IFERROR(VLOOKUP(D21,'Data - Data Feed Market'!$A$2:$F$29,4,FALSE),"")</f>
        <v>1.99942</v>
      </c>
      <c r="K21" s="86"/>
      <c r="L21" s="101">
        <f>IFERROR(VLOOKUP(D21,'Data - Data Feed Market'!$A$2:$K$29,10,FALSE),"")</f>
        <v>1.9948399999999999</v>
      </c>
      <c r="M21" s="102">
        <f t="shared" si="1"/>
        <v>43.000000000001926</v>
      </c>
      <c r="N21" s="94">
        <f t="shared" si="2"/>
        <v>0.28807947019864899</v>
      </c>
      <c r="O21" s="94" t="str">
        <f t="shared" si="6"/>
        <v/>
      </c>
      <c r="P21" s="118">
        <f t="shared" si="3"/>
        <v>60.400000000000453</v>
      </c>
      <c r="Q21" s="95">
        <f t="shared" si="7"/>
        <v>0.71192052980135112</v>
      </c>
      <c r="R21" s="95">
        <f t="shared" si="4"/>
        <v>0.71192052980135112</v>
      </c>
      <c r="S21" s="110">
        <f t="shared" si="5"/>
        <v>17.399999999998528</v>
      </c>
      <c r="T21" s="111">
        <f>IFERROR(VLOOKUP(D21,'Data - Data Feed Market'!$A$2:$K$29,11,FALSE),"")</f>
        <v>2.00088</v>
      </c>
      <c r="U21" s="79"/>
      <c r="V21" s="156"/>
      <c r="W21" s="157">
        <f>IFERROR(VLOOKUP(D21,'Data - Data Feed Market'!A:K,2,FALSE),"")</f>
        <v>43976.800694444442</v>
      </c>
    </row>
    <row r="22" spans="2:23" ht="14.4" customHeight="1" x14ac:dyDescent="0.3">
      <c r="B22" s="177" t="s">
        <v>0</v>
      </c>
      <c r="C22" s="36">
        <v>17</v>
      </c>
      <c r="D22" s="146" t="s">
        <v>20</v>
      </c>
      <c r="E22" s="76"/>
      <c r="F22" s="141">
        <f>IFERROR(VLOOKUP(D22,'Data - Data Feed Market'!$A$2:$F$29,3,FALSE),"")</f>
        <v>117.334</v>
      </c>
      <c r="G22" s="122">
        <f t="shared" si="0"/>
        <v>117.343</v>
      </c>
      <c r="H22" s="174">
        <f>AVERAGE(I22:I27)</f>
        <v>2.1000000000005534</v>
      </c>
      <c r="I22" s="123">
        <f>IFERROR(VLOOKUP(D22,'Data - Data Feed Market'!$A$2:$F$29,5,FALSE),"")</f>
        <v>1.8000000000000682</v>
      </c>
      <c r="J22" s="142">
        <f>IFERROR(VLOOKUP(D22,'Data - Data Feed Market'!$A$2:$F$29,4,FALSE),"")</f>
        <v>117.352</v>
      </c>
      <c r="K22" s="85"/>
      <c r="L22" s="104">
        <f>IFERROR(VLOOKUP(D22,'Data - Data Feed Market'!$A$2:$K$29,10,FALSE),"")</f>
        <v>117.078</v>
      </c>
      <c r="M22" s="99">
        <f t="shared" si="1"/>
        <v>26.500000000000057</v>
      </c>
      <c r="N22" s="49">
        <f t="shared" si="2"/>
        <v>0.43736730360934495</v>
      </c>
      <c r="O22" s="49" t="str">
        <f t="shared" si="6"/>
        <v/>
      </c>
      <c r="P22" s="116">
        <f t="shared" si="3"/>
        <v>47.100000000000364</v>
      </c>
      <c r="Q22" s="74">
        <f t="shared" si="7"/>
        <v>0.56263269639065505</v>
      </c>
      <c r="R22" s="74">
        <f t="shared" si="4"/>
        <v>0.56263269639065505</v>
      </c>
      <c r="S22" s="107">
        <f t="shared" si="5"/>
        <v>20.600000000000307</v>
      </c>
      <c r="T22" s="113">
        <f>IFERROR(VLOOKUP(D22,'Data - Data Feed Market'!$A$2:$K$29,11,FALSE),"")</f>
        <v>117.54900000000001</v>
      </c>
      <c r="U22" s="81"/>
      <c r="V22" s="154"/>
      <c r="W22" s="159">
        <f>IFERROR(VLOOKUP(D22,'Data - Data Feed Market'!A:K,2,FALSE),"")</f>
        <v>43976.800000000003</v>
      </c>
    </row>
    <row r="23" spans="2:23" ht="14.4" customHeight="1" x14ac:dyDescent="0.3">
      <c r="B23" s="178"/>
      <c r="C23" s="80">
        <v>18</v>
      </c>
      <c r="D23" s="147" t="s">
        <v>19</v>
      </c>
      <c r="E23" s="2"/>
      <c r="F23" s="127">
        <f>IFERROR(VLOOKUP(D23,'Data - Data Feed Market'!$A$2:$F$29,3,FALSE),"")</f>
        <v>131.34200000000001</v>
      </c>
      <c r="G23" s="119">
        <f t="shared" si="0"/>
        <v>131.35700000000003</v>
      </c>
      <c r="H23" s="175"/>
      <c r="I23" s="120">
        <f>IFERROR(VLOOKUP(D23,'Data - Data Feed Market'!$A$2:$F$29,5,FALSE),"")</f>
        <v>3.0000000000001137</v>
      </c>
      <c r="J23" s="128">
        <f>IFERROR(VLOOKUP(D23,'Data - Data Feed Market'!$A$2:$F$29,4,FALSE),"")</f>
        <v>131.37200000000001</v>
      </c>
      <c r="K23" s="86"/>
      <c r="L23" s="104">
        <f>IFERROR(VLOOKUP(D23,'Data - Data Feed Market'!$A$2:$K$29,10,FALSE),"")</f>
        <v>130.85900000000001</v>
      </c>
      <c r="M23" s="99">
        <f t="shared" si="1"/>
        <v>49.800000000001887</v>
      </c>
      <c r="N23" s="49">
        <f t="shared" si="2"/>
        <v>7.9482439926022552E-2</v>
      </c>
      <c r="O23" s="49" t="str">
        <f t="shared" si="6"/>
        <v/>
      </c>
      <c r="P23" s="116">
        <f t="shared" si="3"/>
        <v>54.099999999999682</v>
      </c>
      <c r="Q23" s="74">
        <f t="shared" si="7"/>
        <v>0.92051756007397745</v>
      </c>
      <c r="R23" s="74">
        <f t="shared" si="4"/>
        <v>0.92051756007397745</v>
      </c>
      <c r="S23" s="107">
        <f t="shared" si="5"/>
        <v>4.2999999999977945</v>
      </c>
      <c r="T23" s="113">
        <f>IFERROR(VLOOKUP(D23,'Data - Data Feed Market'!$A$2:$K$29,11,FALSE),"")</f>
        <v>131.4</v>
      </c>
      <c r="U23" s="52"/>
      <c r="V23" s="154"/>
      <c r="W23" s="155">
        <f>IFERROR(VLOOKUP(D23,'Data - Data Feed Market'!A:K,2,FALSE),"")</f>
        <v>43976.800694444442</v>
      </c>
    </row>
    <row r="24" spans="2:23" ht="14.4" customHeight="1" x14ac:dyDescent="0.3">
      <c r="B24" s="178"/>
      <c r="C24" s="80">
        <v>19</v>
      </c>
      <c r="D24" s="147" t="s">
        <v>23</v>
      </c>
      <c r="E24" s="2"/>
      <c r="F24" s="127">
        <f>IFERROR(VLOOKUP(D24,'Data - Data Feed Market'!$A$2:$F$29,3,FALSE),"")</f>
        <v>70.504999999999995</v>
      </c>
      <c r="G24" s="119">
        <f t="shared" si="0"/>
        <v>70.513000000000005</v>
      </c>
      <c r="H24" s="175"/>
      <c r="I24" s="120">
        <f>IFERROR(VLOOKUP(D24,'Data - Data Feed Market'!$A$2:$F$29,5,FALSE),"")</f>
        <v>1.6000000000005343</v>
      </c>
      <c r="J24" s="128">
        <f>IFERROR(VLOOKUP(D24,'Data - Data Feed Market'!$A$2:$F$29,4,FALSE),"")</f>
        <v>70.521000000000001</v>
      </c>
      <c r="K24" s="86"/>
      <c r="L24" s="104">
        <f>IFERROR(VLOOKUP(D24,'Data - Data Feed Market'!$A$2:$K$29,10,FALSE),"")</f>
        <v>70.19</v>
      </c>
      <c r="M24" s="99">
        <f t="shared" si="1"/>
        <v>32.30000000000075</v>
      </c>
      <c r="N24" s="49">
        <f t="shared" si="2"/>
        <v>0.15885416666664787</v>
      </c>
      <c r="O24" s="49" t="str">
        <f t="shared" si="6"/>
        <v/>
      </c>
      <c r="P24" s="116">
        <f t="shared" si="3"/>
        <v>38.400000000000034</v>
      </c>
      <c r="Q24" s="74">
        <f t="shared" si="7"/>
        <v>0.84114583333335213</v>
      </c>
      <c r="R24" s="74">
        <f t="shared" si="4"/>
        <v>0.84114583333335213</v>
      </c>
      <c r="S24" s="107">
        <f t="shared" si="5"/>
        <v>6.0999999999992838</v>
      </c>
      <c r="T24" s="113">
        <f>IFERROR(VLOOKUP(D24,'Data - Data Feed Market'!$A$2:$K$29,11,FALSE),"")</f>
        <v>70.573999999999998</v>
      </c>
      <c r="U24" s="52"/>
      <c r="V24" s="154"/>
      <c r="W24" s="155">
        <f>IFERROR(VLOOKUP(D24,'Data - Data Feed Market'!A:K,2,FALSE),"")</f>
        <v>43976.800000000003</v>
      </c>
    </row>
    <row r="25" spans="2:23" ht="14.4" customHeight="1" x14ac:dyDescent="0.3">
      <c r="B25" s="178"/>
      <c r="C25" s="80">
        <v>20</v>
      </c>
      <c r="D25" s="147" t="s">
        <v>18</v>
      </c>
      <c r="E25" s="2"/>
      <c r="F25" s="127">
        <f>IFERROR(VLOOKUP(D25,'Data - Data Feed Market'!$A$2:$F$29,3,FALSE),"")</f>
        <v>65.694999999999993</v>
      </c>
      <c r="G25" s="119">
        <f t="shared" si="0"/>
        <v>65.706500000000005</v>
      </c>
      <c r="H25" s="175"/>
      <c r="I25" s="120">
        <f>IFERROR(VLOOKUP(D25,'Data - Data Feed Market'!$A$2:$F$29,5,FALSE),"")</f>
        <v>2.3000000000010346</v>
      </c>
      <c r="J25" s="128">
        <f>IFERROR(VLOOKUP(D25,'Data - Data Feed Market'!$A$2:$F$29,4,FALSE),"")</f>
        <v>65.718000000000004</v>
      </c>
      <c r="K25" s="86"/>
      <c r="L25" s="104">
        <f>IFERROR(VLOOKUP(D25,'Data - Data Feed Market'!$A$2:$K$29,10,FALSE),"")</f>
        <v>65.438000000000002</v>
      </c>
      <c r="M25" s="99">
        <f t="shared" si="1"/>
        <v>26.850000000000307</v>
      </c>
      <c r="N25" s="49">
        <f t="shared" si="2"/>
        <v>0.26438356164381693</v>
      </c>
      <c r="O25" s="49" t="str">
        <f t="shared" si="6"/>
        <v/>
      </c>
      <c r="P25" s="116">
        <f t="shared" si="3"/>
        <v>36.499999999999488</v>
      </c>
      <c r="Q25" s="74">
        <f t="shared" si="7"/>
        <v>0.73561643835618318</v>
      </c>
      <c r="R25" s="74">
        <f t="shared" si="4"/>
        <v>0.73561643835618318</v>
      </c>
      <c r="S25" s="107">
        <f t="shared" si="5"/>
        <v>9.6499999999991815</v>
      </c>
      <c r="T25" s="113">
        <f>IFERROR(VLOOKUP(D25,'Data - Data Feed Market'!$A$2:$K$29,11,FALSE),"")</f>
        <v>65.802999999999997</v>
      </c>
      <c r="U25" s="52"/>
      <c r="V25" s="154"/>
      <c r="W25" s="155">
        <f>IFERROR(VLOOKUP(D25,'Data - Data Feed Market'!A:K,2,FALSE),"")</f>
        <v>43976.800000000003</v>
      </c>
    </row>
    <row r="26" spans="2:23" ht="14.4" customHeight="1" x14ac:dyDescent="0.3">
      <c r="B26" s="178"/>
      <c r="C26" s="80">
        <v>21</v>
      </c>
      <c r="D26" s="147" t="s">
        <v>22</v>
      </c>
      <c r="E26" s="2"/>
      <c r="F26" s="127">
        <f>IFERROR(VLOOKUP(D26,'Data - Data Feed Market'!$A$2:$F$29,3,FALSE),"")</f>
        <v>77.078999999999994</v>
      </c>
      <c r="G26" s="119">
        <f t="shared" si="0"/>
        <v>77.087500000000006</v>
      </c>
      <c r="H26" s="175"/>
      <c r="I26" s="120">
        <f>IFERROR(VLOOKUP(D26,'Data - Data Feed Market'!$A$2:$F$29,5,FALSE),"")</f>
        <v>1.7000000000010118</v>
      </c>
      <c r="J26" s="128">
        <f>IFERROR(VLOOKUP(D26,'Data - Data Feed Market'!$A$2:$F$29,4,FALSE),"")</f>
        <v>77.096000000000004</v>
      </c>
      <c r="K26" s="86"/>
      <c r="L26" s="104">
        <f>IFERROR(VLOOKUP(D26,'Data - Data Feed Market'!$A$2:$K$29,10,FALSE),"")</f>
        <v>76.759</v>
      </c>
      <c r="M26" s="99">
        <f t="shared" si="1"/>
        <v>32.850000000000534</v>
      </c>
      <c r="N26" s="49">
        <f t="shared" si="2"/>
        <v>1.3513513513492725E-2</v>
      </c>
      <c r="O26" s="49" t="str">
        <f t="shared" si="6"/>
        <v/>
      </c>
      <c r="P26" s="116">
        <f t="shared" si="3"/>
        <v>33.299999999999841</v>
      </c>
      <c r="Q26" s="74">
        <f t="shared" si="7"/>
        <v>0.98648648648650727</v>
      </c>
      <c r="R26" s="74">
        <f t="shared" si="4"/>
        <v>0.98648648648650727</v>
      </c>
      <c r="S26" s="107">
        <f t="shared" si="5"/>
        <v>0.44999999999930651</v>
      </c>
      <c r="T26" s="113">
        <f>IFERROR(VLOOKUP(D26,'Data - Data Feed Market'!$A$2:$K$29,11,FALSE),"")</f>
        <v>77.091999999999999</v>
      </c>
      <c r="U26" s="52"/>
      <c r="V26" s="154"/>
      <c r="W26" s="155">
        <f>IFERROR(VLOOKUP(D26,'Data - Data Feed Market'!A:K,2,FALSE),"")</f>
        <v>43976.800000000003</v>
      </c>
    </row>
    <row r="27" spans="2:23" ht="14.4" customHeight="1" x14ac:dyDescent="0.3">
      <c r="B27" s="179"/>
      <c r="C27" s="82">
        <v>22</v>
      </c>
      <c r="D27" s="149" t="s">
        <v>21</v>
      </c>
      <c r="E27" s="7"/>
      <c r="F27" s="143">
        <f>IFERROR(VLOOKUP(D27,'Data - Data Feed Market'!$A$2:$F$29,3,FALSE),"")</f>
        <v>110.919</v>
      </c>
      <c r="G27" s="130">
        <f t="shared" si="0"/>
        <v>110.93</v>
      </c>
      <c r="H27" s="181"/>
      <c r="I27" s="131">
        <f>IFERROR(VLOOKUP(D27,'Data - Data Feed Market'!$A$2:$F$29,5,FALSE),"")</f>
        <v>2.2000000000005571</v>
      </c>
      <c r="J27" s="144">
        <f>IFERROR(VLOOKUP(D27,'Data - Data Feed Market'!$A$2:$F$29,4,FALSE),"")</f>
        <v>110.941</v>
      </c>
      <c r="K27" s="87"/>
      <c r="L27" s="104">
        <f>IFERROR(VLOOKUP(D27,'Data - Data Feed Market'!$A$2:$K$29,10,FALSE),"")</f>
        <v>110.539</v>
      </c>
      <c r="M27" s="99">
        <f t="shared" si="1"/>
        <v>39.100000000000534</v>
      </c>
      <c r="N27" s="49">
        <f t="shared" si="2"/>
        <v>6.9047619047610143E-2</v>
      </c>
      <c r="O27" s="49" t="str">
        <f t="shared" si="6"/>
        <v/>
      </c>
      <c r="P27" s="118">
        <f t="shared" si="3"/>
        <v>42.000000000000171</v>
      </c>
      <c r="Q27" s="74">
        <f t="shared" si="7"/>
        <v>0.93095238095238986</v>
      </c>
      <c r="R27" s="74">
        <f t="shared" si="4"/>
        <v>0.93095238095238986</v>
      </c>
      <c r="S27" s="107">
        <f t="shared" si="5"/>
        <v>2.8999999999996362</v>
      </c>
      <c r="T27" s="113">
        <f>IFERROR(VLOOKUP(D27,'Data - Data Feed Market'!$A$2:$K$29,11,FALSE),"")</f>
        <v>110.959</v>
      </c>
      <c r="U27" s="83"/>
      <c r="V27" s="154"/>
      <c r="W27" s="158">
        <f>IFERROR(VLOOKUP(D27,'Data - Data Feed Market'!A:K,2,FALSE),"")</f>
        <v>43976.800000000003</v>
      </c>
    </row>
    <row r="28" spans="2:23" ht="14.4" customHeight="1" x14ac:dyDescent="0.3">
      <c r="B28" s="177" t="s">
        <v>34</v>
      </c>
      <c r="C28" s="36">
        <v>23</v>
      </c>
      <c r="D28" s="146" t="s">
        <v>16</v>
      </c>
      <c r="E28" s="76"/>
      <c r="F28" s="137">
        <f>IFERROR(VLOOKUP(D28,'Data - Data Feed Market'!$A$2:$F$29,3,FALSE),"")</f>
        <v>0.91454999999999997</v>
      </c>
      <c r="G28" s="138">
        <f t="shared" si="0"/>
        <v>0.9146749999999999</v>
      </c>
      <c r="H28" s="180">
        <f>AVERAGE(I28:I33)</f>
        <v>2.9166666666665306</v>
      </c>
      <c r="I28" s="139">
        <f>IFERROR(VLOOKUP(D28,'Data - Data Feed Market'!$A$2:$F$29,5,FALSE),"")</f>
        <v>2.4999999999997247</v>
      </c>
      <c r="J28" s="140">
        <f>IFERROR(VLOOKUP(D28,'Data - Data Feed Market'!$A$2:$F$29,4,FALSE),"")</f>
        <v>0.91479999999999995</v>
      </c>
      <c r="K28" s="86"/>
      <c r="L28" s="96">
        <f>IFERROR(VLOOKUP(D28,'Data - Data Feed Market'!$A$2:$K$29,10,FALSE),"")</f>
        <v>0.91264000000000001</v>
      </c>
      <c r="M28" s="97">
        <f t="shared" si="1"/>
        <v>20.349999999998978</v>
      </c>
      <c r="N28" s="92">
        <f t="shared" si="2"/>
        <v>0.36406250000002816</v>
      </c>
      <c r="O28" s="92" t="str">
        <f t="shared" si="6"/>
        <v/>
      </c>
      <c r="P28" s="116">
        <f t="shared" si="3"/>
        <v>31.999999999999808</v>
      </c>
      <c r="Q28" s="93">
        <f t="shared" si="7"/>
        <v>0.63593749999997207</v>
      </c>
      <c r="R28" s="93">
        <f t="shared" si="4"/>
        <v>0.63593749999997207</v>
      </c>
      <c r="S28" s="105">
        <f t="shared" si="5"/>
        <v>11.650000000000826</v>
      </c>
      <c r="T28" s="106">
        <f>IFERROR(VLOOKUP(D28,'Data - Data Feed Market'!$A$2:$K$29,11,FALSE),"")</f>
        <v>0.91583999999999999</v>
      </c>
      <c r="U28" s="77"/>
      <c r="V28" s="152"/>
      <c r="W28" s="153">
        <f>IFERROR(VLOOKUP(D28,'Data - Data Feed Market'!A:K,2,FALSE),"")</f>
        <v>43976.800694444442</v>
      </c>
    </row>
    <row r="29" spans="2:23" ht="14.4" customHeight="1" x14ac:dyDescent="0.3">
      <c r="B29" s="178"/>
      <c r="C29" s="80">
        <v>24</v>
      </c>
      <c r="D29" s="147" t="s">
        <v>32</v>
      </c>
      <c r="E29" s="2"/>
      <c r="F29" s="125">
        <f>IFERROR(VLOOKUP(D29,'Data - Data Feed Market'!$A$2:$F$29,3,FALSE),"")</f>
        <v>0.63551999999999997</v>
      </c>
      <c r="G29" s="119">
        <f t="shared" si="0"/>
        <v>0.63566499999999992</v>
      </c>
      <c r="H29" s="175"/>
      <c r="I29" s="120">
        <f>IFERROR(VLOOKUP(D29,'Data - Data Feed Market'!$A$2:$F$29,5,FALSE),"")</f>
        <v>2.9000000000001247</v>
      </c>
      <c r="J29" s="126">
        <f>IFERROR(VLOOKUP(D29,'Data - Data Feed Market'!$A$2:$F$29,4,FALSE),"")</f>
        <v>0.63580999999999999</v>
      </c>
      <c r="K29" s="86"/>
      <c r="L29" s="98">
        <f>IFERROR(VLOOKUP(D29,'Data - Data Feed Market'!$A$2:$K$29,10,FALSE),"")</f>
        <v>0.63360000000000005</v>
      </c>
      <c r="M29" s="99">
        <f t="shared" si="1"/>
        <v>20.649999999998727</v>
      </c>
      <c r="N29" s="49">
        <f t="shared" si="2"/>
        <v>0.19649805447474555</v>
      </c>
      <c r="O29" s="49" t="str">
        <f t="shared" si="6"/>
        <v/>
      </c>
      <c r="P29" s="116">
        <f t="shared" si="3"/>
        <v>25.699999999999612</v>
      </c>
      <c r="Q29" s="74">
        <f t="shared" si="7"/>
        <v>0.80350194552525434</v>
      </c>
      <c r="R29" s="74">
        <f t="shared" si="4"/>
        <v>0.80350194552525434</v>
      </c>
      <c r="S29" s="107">
        <f t="shared" si="5"/>
        <v>5.0500000000008871</v>
      </c>
      <c r="T29" s="108">
        <f>IFERROR(VLOOKUP(D29,'Data - Data Feed Market'!$A$2:$K$29,11,FALSE),"")</f>
        <v>0.63617000000000001</v>
      </c>
      <c r="U29" s="51"/>
      <c r="V29" s="154"/>
      <c r="W29" s="155">
        <f>IFERROR(VLOOKUP(D29,'Data - Data Feed Market'!A:K,2,FALSE),"")</f>
        <v>43976.799305555556</v>
      </c>
    </row>
    <row r="30" spans="2:23" ht="14.4" customHeight="1" x14ac:dyDescent="0.3">
      <c r="B30" s="178"/>
      <c r="C30" s="80">
        <v>25</v>
      </c>
      <c r="D30" s="147" t="s">
        <v>9</v>
      </c>
      <c r="E30" s="2"/>
      <c r="F30" s="125">
        <f>IFERROR(VLOOKUP(D30,'Data - Data Feed Market'!$A$2:$F$29,3,FALSE),"")</f>
        <v>1.0729599999999999</v>
      </c>
      <c r="G30" s="119">
        <f t="shared" si="0"/>
        <v>1.0731299999999999</v>
      </c>
      <c r="H30" s="175"/>
      <c r="I30" s="120">
        <f>IFERROR(VLOOKUP(D30,'Data - Data Feed Market'!$A$2:$F$29,5,FALSE),"")</f>
        <v>3.4000000000000696</v>
      </c>
      <c r="J30" s="126">
        <f>IFERROR(VLOOKUP(D30,'Data - Data Feed Market'!$A$2:$F$29,4,FALSE),"")</f>
        <v>1.0732999999999999</v>
      </c>
      <c r="K30" s="86"/>
      <c r="L30" s="98">
        <f>IFERROR(VLOOKUP(D30,'Data - Data Feed Market'!$A$2:$K$29,10,FALSE),"")</f>
        <v>1.07056</v>
      </c>
      <c r="M30" s="99">
        <f t="shared" si="1"/>
        <v>25.699999999999612</v>
      </c>
      <c r="N30" s="49">
        <f t="shared" si="2"/>
        <v>0.13175675675679144</v>
      </c>
      <c r="O30" s="49" t="str">
        <f t="shared" si="6"/>
        <v/>
      </c>
      <c r="P30" s="116">
        <f t="shared" si="3"/>
        <v>29.600000000000737</v>
      </c>
      <c r="Q30" s="74">
        <f t="shared" si="7"/>
        <v>0.86824324324320856</v>
      </c>
      <c r="R30" s="74">
        <f t="shared" si="4"/>
        <v>0.86824324324320856</v>
      </c>
      <c r="S30" s="107">
        <f t="shared" si="5"/>
        <v>3.9000000000011248</v>
      </c>
      <c r="T30" s="108">
        <f>IFERROR(VLOOKUP(D30,'Data - Data Feed Market'!$A$2:$K$29,11,FALSE),"")</f>
        <v>1.07352</v>
      </c>
      <c r="U30" s="51"/>
      <c r="V30" s="154"/>
      <c r="W30" s="155">
        <f>IFERROR(VLOOKUP(D30,'Data - Data Feed Market'!A:K,2,FALSE),"")</f>
        <v>43976.800000000003</v>
      </c>
    </row>
    <row r="31" spans="2:23" ht="14.4" customHeight="1" x14ac:dyDescent="0.3">
      <c r="B31" s="178"/>
      <c r="C31" s="80">
        <v>26</v>
      </c>
      <c r="D31" s="147" t="s">
        <v>13</v>
      </c>
      <c r="E31" s="2"/>
      <c r="F31" s="125">
        <f>IFERROR(VLOOKUP(D31,'Data - Data Feed Market'!$A$2:$F$29,3,FALSE),"")</f>
        <v>0.85218000000000005</v>
      </c>
      <c r="G31" s="119">
        <f t="shared" si="0"/>
        <v>0.85233000000000003</v>
      </c>
      <c r="H31" s="175"/>
      <c r="I31" s="120">
        <f>IFERROR(VLOOKUP(D31,'Data - Data Feed Market'!$A$2:$F$29,5,FALSE),"")</f>
        <v>2.9999999999996696</v>
      </c>
      <c r="J31" s="126">
        <f>IFERROR(VLOOKUP(D31,'Data - Data Feed Market'!$A$2:$F$29,4,FALSE),"")</f>
        <v>0.85248000000000002</v>
      </c>
      <c r="K31" s="86"/>
      <c r="L31" s="98">
        <f>IFERROR(VLOOKUP(D31,'Data - Data Feed Market'!$A$2:$K$29,10,FALSE),"")</f>
        <v>0.85145999999999999</v>
      </c>
      <c r="M31" s="99">
        <f t="shared" si="1"/>
        <v>8.7000000000003741</v>
      </c>
      <c r="N31" s="49">
        <f t="shared" si="2"/>
        <v>0.6506024096385381</v>
      </c>
      <c r="O31" s="49">
        <f t="shared" si="6"/>
        <v>-0.6506024096385381</v>
      </c>
      <c r="P31" s="116">
        <f t="shared" si="3"/>
        <v>24.89999999999992</v>
      </c>
      <c r="Q31" s="74" t="str">
        <f t="shared" si="7"/>
        <v/>
      </c>
      <c r="R31" s="74">
        <f t="shared" si="4"/>
        <v>0.3493975903614619</v>
      </c>
      <c r="S31" s="107">
        <f t="shared" si="5"/>
        <v>16.199999999999548</v>
      </c>
      <c r="T31" s="108">
        <f>IFERROR(VLOOKUP(D31,'Data - Data Feed Market'!$A$2:$K$29,11,FALSE),"")</f>
        <v>0.85394999999999999</v>
      </c>
      <c r="U31" s="51"/>
      <c r="V31" s="154"/>
      <c r="W31" s="155">
        <f>IFERROR(VLOOKUP(D31,'Data - Data Feed Market'!A:K,2,FALSE),"")</f>
        <v>43976.800694444442</v>
      </c>
    </row>
    <row r="32" spans="2:23" ht="14.4" customHeight="1" x14ac:dyDescent="0.3">
      <c r="B32" s="178"/>
      <c r="C32" s="80">
        <v>27</v>
      </c>
      <c r="D32" s="147" t="s">
        <v>28</v>
      </c>
      <c r="E32" s="2"/>
      <c r="F32" s="125">
        <f>IFERROR(VLOOKUP(D32,'Data - Data Feed Market'!$A$2:$F$29,3,FALSE),"")</f>
        <v>0.59221000000000001</v>
      </c>
      <c r="G32" s="119">
        <f t="shared" si="0"/>
        <v>0.59237000000000006</v>
      </c>
      <c r="H32" s="175"/>
      <c r="I32" s="120">
        <f>IFERROR(VLOOKUP(D32,'Data - Data Feed Market'!$A$2:$F$29,5,FALSE),"")</f>
        <v>3.1999999999998696</v>
      </c>
      <c r="J32" s="126">
        <f>IFERROR(VLOOKUP(D32,'Data - Data Feed Market'!$A$2:$F$29,4,FALSE),"")</f>
        <v>0.59253</v>
      </c>
      <c r="K32" s="86"/>
      <c r="L32" s="98">
        <f>IFERROR(VLOOKUP(D32,'Data - Data Feed Market'!$A$2:$K$29,10,FALSE),"")</f>
        <v>0.59050999999999998</v>
      </c>
      <c r="M32" s="99">
        <f t="shared" si="1"/>
        <v>18.60000000000084</v>
      </c>
      <c r="N32" s="49">
        <f t="shared" si="2"/>
        <v>0.31111111111108902</v>
      </c>
      <c r="O32" s="49" t="str">
        <f t="shared" si="6"/>
        <v/>
      </c>
      <c r="P32" s="116">
        <f t="shared" si="3"/>
        <v>27.000000000000355</v>
      </c>
      <c r="Q32" s="74">
        <f t="shared" si="7"/>
        <v>0.68888888888891087</v>
      </c>
      <c r="R32" s="74">
        <f t="shared" si="4"/>
        <v>0.68888888888891087</v>
      </c>
      <c r="S32" s="107">
        <f t="shared" si="5"/>
        <v>8.399999999999519</v>
      </c>
      <c r="T32" s="108">
        <f>IFERROR(VLOOKUP(D32,'Data - Data Feed Market'!$A$2:$K$29,11,FALSE),"")</f>
        <v>0.59321000000000002</v>
      </c>
      <c r="U32" s="51"/>
      <c r="V32" s="154"/>
      <c r="W32" s="155">
        <f>IFERROR(VLOOKUP(D32,'Data - Data Feed Market'!A:K,2,FALSE),"")</f>
        <v>43976.799305555556</v>
      </c>
    </row>
    <row r="33" spans="2:23" ht="14.4" customHeight="1" x14ac:dyDescent="0.3">
      <c r="B33" s="179"/>
      <c r="C33" s="82">
        <v>28</v>
      </c>
      <c r="D33" s="150" t="s">
        <v>31</v>
      </c>
      <c r="E33" s="7"/>
      <c r="F33" s="129">
        <f>IFERROR(VLOOKUP(D33,'Data - Data Feed Market'!$A$2:$F$29,3,FALSE),"")</f>
        <v>0.69484000000000001</v>
      </c>
      <c r="G33" s="130">
        <f t="shared" si="0"/>
        <v>0.69496500000000005</v>
      </c>
      <c r="H33" s="181"/>
      <c r="I33" s="131">
        <f>IFERROR(VLOOKUP(D33,'Data - Data Feed Market'!$A$2:$F$29,5,FALSE),"")</f>
        <v>2.4999999999997247</v>
      </c>
      <c r="J33" s="132">
        <f>IFERROR(VLOOKUP(D33,'Data - Data Feed Market'!$A$2:$F$29,4,FALSE),"")</f>
        <v>0.69508999999999999</v>
      </c>
      <c r="K33" s="87"/>
      <c r="L33" s="101">
        <f>IFERROR(VLOOKUP(D33,'Data - Data Feed Market'!$A$2:$K$29,10,FALSE),"")</f>
        <v>0.69313999999999998</v>
      </c>
      <c r="M33" s="102">
        <f t="shared" si="1"/>
        <v>18.250000000000767</v>
      </c>
      <c r="N33" s="94">
        <f t="shared" si="2"/>
        <v>0.33394160583940646</v>
      </c>
      <c r="O33" s="94" t="str">
        <f t="shared" si="6"/>
        <v/>
      </c>
      <c r="P33" s="118">
        <f t="shared" si="3"/>
        <v>27.400000000000759</v>
      </c>
      <c r="Q33" s="95">
        <f t="shared" si="7"/>
        <v>0.66605839416059354</v>
      </c>
      <c r="R33" s="95">
        <f t="shared" si="4"/>
        <v>0.66605839416059354</v>
      </c>
      <c r="S33" s="110">
        <f t="shared" si="5"/>
        <v>9.1499999999999915</v>
      </c>
      <c r="T33" s="111">
        <f>IFERROR(VLOOKUP(D33,'Data - Data Feed Market'!$A$2:$K$29,11,FALSE),"")</f>
        <v>0.69588000000000005</v>
      </c>
      <c r="U33" s="79"/>
      <c r="V33" s="156"/>
      <c r="W33" s="157">
        <f>IFERROR(VLOOKUP(D33,'Data - Data Feed Market'!A:K,2,FALSE),"")</f>
        <v>43976.799305555556</v>
      </c>
    </row>
    <row r="34" spans="2:23" ht="14.4" customHeight="1" x14ac:dyDescent="0.3">
      <c r="D34" s="37"/>
      <c r="E34" s="37"/>
      <c r="I34" s="38"/>
      <c r="J34" s="54"/>
      <c r="L34" s="65"/>
      <c r="M34" s="66"/>
      <c r="N34" s="67"/>
      <c r="O34" s="67"/>
      <c r="U34" s="6"/>
      <c r="V34" s="39"/>
      <c r="W34" s="22"/>
    </row>
    <row r="35" spans="2:23" ht="14.4" customHeight="1" x14ac:dyDescent="0.3">
      <c r="D35" s="37"/>
      <c r="E35" s="37"/>
      <c r="I35" s="40" t="s">
        <v>49</v>
      </c>
      <c r="J35" s="40" t="s">
        <v>50</v>
      </c>
      <c r="L35" s="65"/>
      <c r="M35" s="66"/>
      <c r="N35" s="67"/>
      <c r="O35" s="67"/>
      <c r="V35" s="170" t="s">
        <v>48</v>
      </c>
      <c r="W35" s="170"/>
    </row>
    <row r="36" spans="2:23" ht="14.4" customHeight="1" x14ac:dyDescent="0.3">
      <c r="D36" s="37"/>
      <c r="E36" s="37"/>
      <c r="H36" s="41" t="s">
        <v>35</v>
      </c>
      <c r="I36" s="42">
        <f>MIN(I6:I33)</f>
        <v>1.2999999999996348</v>
      </c>
      <c r="J36" s="43">
        <v>1.9</v>
      </c>
      <c r="L36" s="65"/>
      <c r="M36" s="66"/>
      <c r="N36" s="67"/>
      <c r="O36" s="67"/>
      <c r="S36" s="161"/>
      <c r="T36" s="161"/>
      <c r="V36" s="170"/>
      <c r="W36" s="170"/>
    </row>
    <row r="37" spans="2:23" ht="14.4" customHeight="1" x14ac:dyDescent="0.3">
      <c r="D37" s="37"/>
      <c r="E37" s="37"/>
      <c r="H37" s="41" t="s">
        <v>36</v>
      </c>
      <c r="I37" s="44">
        <f>MAX(I6:I33)</f>
        <v>5.5999999999989392</v>
      </c>
      <c r="J37" s="45">
        <v>3</v>
      </c>
      <c r="L37" s="65"/>
      <c r="M37" s="66"/>
      <c r="N37" s="67"/>
      <c r="O37" s="67"/>
      <c r="S37" s="161"/>
      <c r="T37" s="161"/>
      <c r="V37" s="170"/>
      <c r="W37" s="170"/>
    </row>
    <row r="38" spans="2:23" ht="4.05" customHeight="1" x14ac:dyDescent="0.3">
      <c r="D38" s="46"/>
      <c r="E38" s="46"/>
    </row>
    <row r="39" spans="2:23" x14ac:dyDescent="0.3">
      <c r="D39" s="47"/>
      <c r="E39" s="47"/>
      <c r="J39" s="47"/>
      <c r="L39" s="68"/>
      <c r="M39" s="69"/>
      <c r="N39" s="70"/>
      <c r="O39" s="70"/>
    </row>
    <row r="40" spans="2:23" x14ac:dyDescent="0.3">
      <c r="D40" s="47"/>
      <c r="E40" s="47"/>
      <c r="I40" s="48"/>
      <c r="J40" s="47"/>
      <c r="L40" s="68"/>
      <c r="M40" s="69"/>
      <c r="N40" s="70"/>
      <c r="O40" s="70"/>
      <c r="V40" s="48"/>
      <c r="W40" s="48"/>
    </row>
    <row r="41" spans="2:23" x14ac:dyDescent="0.3">
      <c r="V41" s="22"/>
      <c r="W41" s="22"/>
    </row>
    <row r="42" spans="2:23" x14ac:dyDescent="0.3">
      <c r="V42" s="22"/>
      <c r="W42" s="46"/>
    </row>
    <row r="43" spans="2:23" x14ac:dyDescent="0.3">
      <c r="V43" s="22"/>
      <c r="W43" s="46"/>
    </row>
    <row r="44" spans="2:23" x14ac:dyDescent="0.3">
      <c r="V44" s="22"/>
      <c r="W44" s="46"/>
    </row>
    <row r="45" spans="2:23" x14ac:dyDescent="0.3">
      <c r="V45" s="22"/>
      <c r="W45" s="46"/>
    </row>
    <row r="46" spans="2:23" x14ac:dyDescent="0.3">
      <c r="V46" s="22"/>
      <c r="W46" s="46"/>
    </row>
    <row r="47" spans="2:23" x14ac:dyDescent="0.3">
      <c r="V47" s="22"/>
      <c r="W47" s="46"/>
    </row>
    <row r="48" spans="2:23" x14ac:dyDescent="0.3">
      <c r="V48" s="22"/>
      <c r="W48" s="46"/>
    </row>
    <row r="49" spans="9:23" x14ac:dyDescent="0.3">
      <c r="V49" s="22"/>
      <c r="W49" s="46"/>
    </row>
    <row r="50" spans="9:23" x14ac:dyDescent="0.3">
      <c r="V50" s="22"/>
      <c r="W50" s="46"/>
    </row>
    <row r="51" spans="9:23" x14ac:dyDescent="0.3">
      <c r="V51" s="22"/>
      <c r="W51" s="46"/>
    </row>
    <row r="52" spans="9:23" x14ac:dyDescent="0.3">
      <c r="V52" s="22"/>
      <c r="W52" s="46"/>
    </row>
    <row r="53" spans="9:23" x14ac:dyDescent="0.3">
      <c r="V53" s="22"/>
      <c r="W53" s="46"/>
    </row>
    <row r="54" spans="9:23" x14ac:dyDescent="0.3">
      <c r="V54" s="22"/>
      <c r="W54" s="46"/>
    </row>
    <row r="55" spans="9:23" x14ac:dyDescent="0.3">
      <c r="V55" s="22"/>
      <c r="W55" s="46"/>
    </row>
    <row r="56" spans="9:23" x14ac:dyDescent="0.3">
      <c r="V56" s="22"/>
      <c r="W56" s="46"/>
    </row>
    <row r="57" spans="9:23" x14ac:dyDescent="0.3">
      <c r="V57" s="22"/>
      <c r="W57" s="46"/>
    </row>
    <row r="58" spans="9:23" x14ac:dyDescent="0.3">
      <c r="V58" s="22"/>
      <c r="W58" s="46"/>
    </row>
    <row r="59" spans="9:23" x14ac:dyDescent="0.3">
      <c r="I59" s="22"/>
      <c r="V59" s="22"/>
      <c r="W59" s="46"/>
    </row>
  </sheetData>
  <mergeCells count="16">
    <mergeCell ref="B6:B12"/>
    <mergeCell ref="H6:H12"/>
    <mergeCell ref="B28:B33"/>
    <mergeCell ref="H28:H33"/>
    <mergeCell ref="B13:B17"/>
    <mergeCell ref="H13:H17"/>
    <mergeCell ref="B18:B21"/>
    <mergeCell ref="H18:H21"/>
    <mergeCell ref="B22:B27"/>
    <mergeCell ref="H22:H27"/>
    <mergeCell ref="C2:W3"/>
    <mergeCell ref="S36:T37"/>
    <mergeCell ref="M5:O5"/>
    <mergeCell ref="Q5:S5"/>
    <mergeCell ref="H5:I5"/>
    <mergeCell ref="V35:W37"/>
  </mergeCells>
  <conditionalFormatting sqref="Q6:Q33">
    <cfRule type="dataBar" priority="21">
      <dataBar showValue="0">
        <cfvo type="num" val="0.5"/>
        <cfvo type="num" val="1"/>
        <color rgb="FF63C384"/>
      </dataBar>
      <extLst>
        <ext xmlns:x14="http://schemas.microsoft.com/office/spreadsheetml/2009/9/main" uri="{B025F937-C7B1-47D3-B67F-A62EFF666E3E}">
          <x14:id>{68888548-E113-4874-A63A-3DA57B53990D}</x14:id>
        </ext>
      </extLst>
    </cfRule>
  </conditionalFormatting>
  <conditionalFormatting sqref="O6:O33">
    <cfRule type="dataBar" priority="20">
      <dataBar showValue="0">
        <cfvo type="num" val="-1"/>
        <cfvo type="num" val="-0.5"/>
        <color rgb="FF63C384"/>
      </dataBar>
      <extLst>
        <ext xmlns:x14="http://schemas.microsoft.com/office/spreadsheetml/2009/9/main" uri="{B025F937-C7B1-47D3-B67F-A62EFF666E3E}">
          <x14:id>{79ED77C3-88DB-41AF-9899-A3F886FE0FDB}</x14:id>
        </ext>
      </extLst>
    </cfRule>
  </conditionalFormatting>
  <conditionalFormatting sqref="I6:I33">
    <cfRule type="top10" dxfId="6" priority="13" bottom="1" rank="2"/>
    <cfRule type="cellIs" dxfId="5" priority="120" operator="greaterThan">
      <formula>$J$37</formula>
    </cfRule>
    <cfRule type="cellIs" dxfId="4" priority="121" operator="lessThan">
      <formula>$J$36</formula>
    </cfRule>
  </conditionalFormatting>
  <conditionalFormatting sqref="V35">
    <cfRule type="containsText" dxfId="3" priority="16" operator="containsText" text="Pair Specs">
      <formula>NOT(ISERROR(SEARCH("Pair Specs",V35)))</formula>
    </cfRule>
    <cfRule type="containsText" dxfId="2" priority="17" operator="containsText" text="DDE">
      <formula>NOT(ISERROR(SEARCH("DDE",V35)))</formula>
    </cfRule>
  </conditionalFormatting>
  <conditionalFormatting sqref="H6:H33">
    <cfRule type="top10" dxfId="1" priority="14" rank="1"/>
    <cfRule type="top10" dxfId="0" priority="15" bottom="1" rank="1"/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888548-E113-4874-A63A-3DA57B53990D}">
            <x14:dataBar minLength="0" maxLength="100" gradient="0">
              <x14:cfvo type="num">
                <xm:f>0.5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Q6:Q33</xm:sqref>
        </x14:conditionalFormatting>
        <x14:conditionalFormatting xmlns:xm="http://schemas.microsoft.com/office/excel/2006/main">
          <x14:cfRule type="dataBar" id="{79ED77C3-88DB-41AF-9899-A3F886FE0FDB}">
            <x14:dataBar minLength="0" maxLength="100" gradient="0">
              <x14:cfvo type="num">
                <xm:f>-1</xm:f>
              </x14:cfvo>
              <x14:cfvo type="num">
                <xm:f>-0.5</xm:f>
              </x14:cfvo>
              <x14:negativeFillColor rgb="FFFF0000"/>
              <x14:axisColor rgb="FF000000"/>
            </x14:dataBar>
          </x14:cfRule>
          <xm:sqref>O6:O33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8656D-F9D9-4578-9A21-45B8F81A31AF}">
  <sheetPr codeName="Sheet12"/>
  <dimension ref="A1:M30"/>
  <sheetViews>
    <sheetView workbookViewId="0">
      <selection activeCell="G2" sqref="G2:H29"/>
    </sheetView>
  </sheetViews>
  <sheetFormatPr defaultRowHeight="14.4" x14ac:dyDescent="0.3"/>
  <cols>
    <col min="1" max="6" width="15.77734375" style="4" customWidth="1"/>
    <col min="7" max="8" width="15.77734375" style="25" customWidth="1"/>
    <col min="9" max="9" width="15.77734375" style="4" customWidth="1"/>
    <col min="10" max="11" width="14.77734375" style="4" customWidth="1"/>
    <col min="12" max="12" width="13.109375" style="4" customWidth="1"/>
    <col min="13" max="13" width="14.6640625" style="4" bestFit="1" customWidth="1"/>
    <col min="14" max="16384" width="8.88671875" style="4"/>
  </cols>
  <sheetData>
    <row r="1" spans="1:13" s="3" customFormat="1" ht="15" thickBot="1" x14ac:dyDescent="0.35">
      <c r="A1" s="16" t="s">
        <v>37</v>
      </c>
      <c r="B1" s="17" t="s">
        <v>42</v>
      </c>
      <c r="C1" s="9" t="s">
        <v>38</v>
      </c>
      <c r="D1" s="9" t="s">
        <v>39</v>
      </c>
      <c r="E1" s="9" t="s">
        <v>45</v>
      </c>
      <c r="F1" s="9" t="s">
        <v>46</v>
      </c>
      <c r="G1" s="23" t="s">
        <v>43</v>
      </c>
      <c r="H1" s="23" t="s">
        <v>44</v>
      </c>
      <c r="I1" s="9" t="s">
        <v>47</v>
      </c>
      <c r="J1" s="9" t="s">
        <v>5</v>
      </c>
      <c r="K1" s="9" t="s">
        <v>4</v>
      </c>
      <c r="L1" s="26" t="s">
        <v>48</v>
      </c>
    </row>
    <row r="2" spans="1:13" x14ac:dyDescent="0.3">
      <c r="A2" s="10" t="s">
        <v>16</v>
      </c>
      <c r="B2" s="13">
        <f>IF($L$1="DDE",VLOOKUP(A2,'Data - DDE'!$A$2:$G$29,2,FALSE),VLOOKUP(A2,#REF!,2,FALSE))</f>
        <v>43976.800694444442</v>
      </c>
      <c r="C2" s="18">
        <f>IF($L$1="DDE",VLOOKUP(A2,'Data - DDE'!$A$2:$G$29,3,FALSE),VLOOKUP(A2,#REF!,3,FALSE))</f>
        <v>0.91454999999999997</v>
      </c>
      <c r="D2" s="18">
        <f>IF($L$1="DDE",VLOOKUP(A2,'Data - DDE'!$A$2:$G$29,4,FALSE),VLOOKUP(A2,#REF!,4,FALSE))</f>
        <v>0.91479999999999995</v>
      </c>
      <c r="E2" s="14">
        <f>IF(ISNUMBER(SEARCH("JPY",A2)),((D2-C2)*100),((D2-C2)*10000))</f>
        <v>2.4999999999997247</v>
      </c>
      <c r="F2" s="19">
        <f>IF(ISNUMBER(SEARCH("JPY",A2)),((D2-C2)),((D2-C2)))</f>
        <v>2.4999999999997247E-4</v>
      </c>
      <c r="G2" s="24"/>
      <c r="H2" s="24"/>
      <c r="I2" s="15">
        <f>AVERAGE(C2:D2)</f>
        <v>0.9146749999999999</v>
      </c>
      <c r="J2" s="1">
        <f>IF($L$1="DDE",VLOOKUP(A2,'Data - DDE'!$A$2:$I$29,8,FALSE),"")</f>
        <v>0.91264000000000001</v>
      </c>
      <c r="K2" s="4">
        <f>IF($L$1="DDE",VLOOKUP(A2,'Data - DDE'!$A$2:$I$29,9,FALSE),"")</f>
        <v>0.91583999999999999</v>
      </c>
      <c r="L2" s="12"/>
      <c r="M2" s="13"/>
    </row>
    <row r="3" spans="1:13" x14ac:dyDescent="0.3">
      <c r="A3" s="10" t="s">
        <v>32</v>
      </c>
      <c r="B3" s="13">
        <f>IF($L$1="DDE",VLOOKUP(A3,'Data - DDE'!$A$2:$G$29,2,FALSE),VLOOKUP(A3,#REF!,2,FALSE))</f>
        <v>43976.799305555556</v>
      </c>
      <c r="C3" s="18">
        <f>IF($L$1="DDE",VLOOKUP(A3,'Data - DDE'!$A$2:$G$29,3,FALSE),VLOOKUP(A3,#REF!,3,FALSE))</f>
        <v>0.63551999999999997</v>
      </c>
      <c r="D3" s="18">
        <f>IF($L$1="DDE",VLOOKUP(A3,'Data - DDE'!$A$2:$G$29,4,FALSE),VLOOKUP(A3,#REF!,4,FALSE))</f>
        <v>0.63580999999999999</v>
      </c>
      <c r="E3" s="14">
        <f t="shared" ref="E3:E17" si="0">IF(ISNUMBER(SEARCH("JPY",A3)),((D3-C3)*100),((D3-C3)*10000))</f>
        <v>2.9000000000001247</v>
      </c>
      <c r="F3" s="19">
        <f t="shared" ref="F3:F17" si="1">IF(ISNUMBER(SEARCH("JPY",A3)),((D3-C3)),((D3-C3)))</f>
        <v>2.9000000000001247E-4</v>
      </c>
      <c r="G3" s="24"/>
      <c r="H3" s="24"/>
      <c r="I3" s="15">
        <f t="shared" ref="I3:I17" si="2">AVERAGE(C3:D3)</f>
        <v>0.63566499999999992</v>
      </c>
      <c r="J3" s="1">
        <f>IF($L$1="DDE",VLOOKUP(A3,'Data - DDE'!$A$2:$I$29,8,FALSE),"")</f>
        <v>0.63360000000000005</v>
      </c>
      <c r="K3" s="4">
        <f>IF($L$1="DDE",VLOOKUP(A3,'Data - DDE'!$A$2:$I$29,9,FALSE),"")</f>
        <v>0.63617000000000001</v>
      </c>
      <c r="L3" s="12"/>
      <c r="M3" s="13"/>
    </row>
    <row r="4" spans="1:13" x14ac:dyDescent="0.3">
      <c r="A4" s="10" t="s">
        <v>23</v>
      </c>
      <c r="B4" s="13">
        <f>IF($L$1="DDE",VLOOKUP(A4,'Data - DDE'!$A$2:$G$29,2,FALSE),VLOOKUP(A4,#REF!,2,FALSE))</f>
        <v>43976.800000000003</v>
      </c>
      <c r="C4" s="18">
        <f>IF($L$1="DDE",VLOOKUP(A4,'Data - DDE'!$A$2:$G$29,3,FALSE),VLOOKUP(A4,#REF!,3,FALSE))</f>
        <v>70.504999999999995</v>
      </c>
      <c r="D4" s="18">
        <f>IF($L$1="DDE",VLOOKUP(A4,'Data - DDE'!$A$2:$G$29,4,FALSE),VLOOKUP(A4,#REF!,4,FALSE))</f>
        <v>70.521000000000001</v>
      </c>
      <c r="E4" s="14">
        <f t="shared" si="0"/>
        <v>1.6000000000005343</v>
      </c>
      <c r="F4" s="19">
        <f t="shared" si="1"/>
        <v>1.6000000000005343E-2</v>
      </c>
      <c r="G4" s="24"/>
      <c r="H4" s="24"/>
      <c r="I4" s="15">
        <f t="shared" si="2"/>
        <v>70.513000000000005</v>
      </c>
      <c r="J4" s="1">
        <f>IF($L$1="DDE",VLOOKUP(A4,'Data - DDE'!$A$2:$I$29,8,FALSE),"")</f>
        <v>70.19</v>
      </c>
      <c r="K4" s="4">
        <f>IF($L$1="DDE",VLOOKUP(A4,'Data - DDE'!$A$2:$I$29,9,FALSE),"")</f>
        <v>70.573999999999998</v>
      </c>
      <c r="L4" s="12"/>
      <c r="M4" s="13"/>
    </row>
    <row r="5" spans="1:13" x14ac:dyDescent="0.3">
      <c r="A5" s="10" t="s">
        <v>9</v>
      </c>
      <c r="B5" s="13">
        <f>IF($L$1="DDE",VLOOKUP(A5,'Data - DDE'!$A$2:$G$29,2,FALSE),VLOOKUP(A5,#REF!,2,FALSE))</f>
        <v>43976.800000000003</v>
      </c>
      <c r="C5" s="18">
        <f>IF($L$1="DDE",VLOOKUP(A5,'Data - DDE'!$A$2:$G$29,3,FALSE),VLOOKUP(A5,#REF!,3,FALSE))</f>
        <v>1.0729599999999999</v>
      </c>
      <c r="D5" s="18">
        <f>IF($L$1="DDE",VLOOKUP(A5,'Data - DDE'!$A$2:$G$29,4,FALSE),VLOOKUP(A5,#REF!,4,FALSE))</f>
        <v>1.0732999999999999</v>
      </c>
      <c r="E5" s="14">
        <f t="shared" si="0"/>
        <v>3.4000000000000696</v>
      </c>
      <c r="F5" s="19">
        <f t="shared" si="1"/>
        <v>3.4000000000000696E-4</v>
      </c>
      <c r="G5" s="24"/>
      <c r="H5" s="24"/>
      <c r="I5" s="15">
        <f t="shared" si="2"/>
        <v>1.0731299999999999</v>
      </c>
      <c r="J5" s="1">
        <f>IF($L$1="DDE",VLOOKUP(A5,'Data - DDE'!$A$2:$I$29,8,FALSE),"")</f>
        <v>1.07056</v>
      </c>
      <c r="K5" s="4">
        <f>IF($L$1="DDE",VLOOKUP(A5,'Data - DDE'!$A$2:$I$29,9,FALSE),"")</f>
        <v>1.07352</v>
      </c>
      <c r="L5" s="12"/>
      <c r="M5" s="13"/>
    </row>
    <row r="6" spans="1:13" x14ac:dyDescent="0.3">
      <c r="A6" s="10" t="s">
        <v>26</v>
      </c>
      <c r="B6" s="13">
        <f>IF($L$1="DDE",VLOOKUP(A6,'Data - DDE'!$A$2:$G$29,2,FALSE),VLOOKUP(A6,#REF!,2,FALSE))</f>
        <v>43976.799305555556</v>
      </c>
      <c r="C6" s="18">
        <f>IF($L$1="DDE",VLOOKUP(A6,'Data - DDE'!$A$2:$G$29,3,FALSE),VLOOKUP(A6,#REF!,3,FALSE))</f>
        <v>0.65466000000000002</v>
      </c>
      <c r="D6" s="18">
        <f>IF($L$1="DDE",VLOOKUP(A6,'Data - DDE'!$A$2:$G$29,4,FALSE),VLOOKUP(A6,#REF!,4,FALSE))</f>
        <v>0.65481999999999996</v>
      </c>
      <c r="E6" s="14">
        <f t="shared" si="0"/>
        <v>1.5999999999993797</v>
      </c>
      <c r="F6" s="19">
        <f t="shared" si="1"/>
        <v>1.5999999999993797E-4</v>
      </c>
      <c r="G6" s="24"/>
      <c r="H6" s="24"/>
      <c r="I6" s="15">
        <f t="shared" si="2"/>
        <v>0.65473999999999999</v>
      </c>
      <c r="J6" s="1">
        <f>IF($L$1="DDE",VLOOKUP(A6,'Data - DDE'!$A$2:$I$29,8,FALSE),"")</f>
        <v>0.65192000000000005</v>
      </c>
      <c r="K6" s="4">
        <f>IF($L$1="DDE",VLOOKUP(A6,'Data - DDE'!$A$2:$I$29,9,FALSE),"")</f>
        <v>0.65491999999999995</v>
      </c>
      <c r="L6" s="12"/>
      <c r="M6" s="13"/>
    </row>
    <row r="7" spans="1:13" x14ac:dyDescent="0.3">
      <c r="A7" s="10" t="s">
        <v>31</v>
      </c>
      <c r="B7" s="13">
        <f>IF($L$1="DDE",VLOOKUP(A7,'Data - DDE'!$A$2:$G$29,2,FALSE),VLOOKUP(A7,#REF!,2,FALSE))</f>
        <v>43976.799305555556</v>
      </c>
      <c r="C7" s="18">
        <f>IF($L$1="DDE",VLOOKUP(A7,'Data - DDE'!$A$2:$G$29,3,FALSE),VLOOKUP(A7,#REF!,3,FALSE))</f>
        <v>0.69484000000000001</v>
      </c>
      <c r="D7" s="18">
        <f>IF($L$1="DDE",VLOOKUP(A7,'Data - DDE'!$A$2:$G$29,4,FALSE),VLOOKUP(A7,#REF!,4,FALSE))</f>
        <v>0.69508999999999999</v>
      </c>
      <c r="E7" s="14">
        <f t="shared" si="0"/>
        <v>2.4999999999997247</v>
      </c>
      <c r="F7" s="19">
        <f t="shared" si="1"/>
        <v>2.4999999999997247E-4</v>
      </c>
      <c r="G7" s="24"/>
      <c r="H7" s="24"/>
      <c r="I7" s="15">
        <f t="shared" si="2"/>
        <v>0.69496500000000005</v>
      </c>
      <c r="J7" s="1">
        <f>IF($L$1="DDE",VLOOKUP(A7,'Data - DDE'!$A$2:$I$29,8,FALSE),"")</f>
        <v>0.69313999999999998</v>
      </c>
      <c r="K7" s="4">
        <f>IF($L$1="DDE",VLOOKUP(A7,'Data - DDE'!$A$2:$I$29,9,FALSE),"")</f>
        <v>0.69588000000000005</v>
      </c>
      <c r="L7" s="12"/>
      <c r="M7" s="13"/>
    </row>
    <row r="8" spans="1:13" x14ac:dyDescent="0.3">
      <c r="A8" s="10" t="s">
        <v>22</v>
      </c>
      <c r="B8" s="13">
        <f>IF($L$1="DDE",VLOOKUP(A8,'Data - DDE'!$A$2:$G$29,2,FALSE),VLOOKUP(A8,#REF!,2,FALSE))</f>
        <v>43976.800000000003</v>
      </c>
      <c r="C8" s="18">
        <f>IF($L$1="DDE",VLOOKUP(A8,'Data - DDE'!$A$2:$G$29,3,FALSE),VLOOKUP(A8,#REF!,3,FALSE))</f>
        <v>77.078999999999994</v>
      </c>
      <c r="D8" s="18">
        <f>IF($L$1="DDE",VLOOKUP(A8,'Data - DDE'!$A$2:$G$29,4,FALSE),VLOOKUP(A8,#REF!,4,FALSE))</f>
        <v>77.096000000000004</v>
      </c>
      <c r="E8" s="14">
        <f t="shared" si="0"/>
        <v>1.7000000000010118</v>
      </c>
      <c r="F8" s="19">
        <f t="shared" si="1"/>
        <v>1.7000000000010118E-2</v>
      </c>
      <c r="G8" s="24"/>
      <c r="H8" s="24"/>
      <c r="I8" s="15">
        <f t="shared" si="2"/>
        <v>77.087500000000006</v>
      </c>
      <c r="J8" s="1">
        <f>IF($L$1="DDE",VLOOKUP(A8,'Data - DDE'!$A$2:$I$29,8,FALSE),"")</f>
        <v>76.759</v>
      </c>
      <c r="K8" s="4">
        <f>IF($L$1="DDE",VLOOKUP(A8,'Data - DDE'!$A$2:$I$29,9,FALSE),"")</f>
        <v>77.091999999999999</v>
      </c>
      <c r="L8" s="12"/>
      <c r="M8" s="13"/>
    </row>
    <row r="9" spans="1:13" x14ac:dyDescent="0.3">
      <c r="A9" s="10" t="s">
        <v>21</v>
      </c>
      <c r="B9" s="13">
        <f>IF($L$1="DDE",VLOOKUP(A9,'Data - DDE'!$A$2:$G$29,2,FALSE),VLOOKUP(A9,#REF!,2,FALSE))</f>
        <v>43976.800000000003</v>
      </c>
      <c r="C9" s="18">
        <f>IF($L$1="DDE",VLOOKUP(A9,'Data - DDE'!$A$2:$G$29,3,FALSE),VLOOKUP(A9,#REF!,3,FALSE))</f>
        <v>110.919</v>
      </c>
      <c r="D9" s="18">
        <f>IF($L$1="DDE",VLOOKUP(A9,'Data - DDE'!$A$2:$G$29,4,FALSE),VLOOKUP(A9,#REF!,4,FALSE))</f>
        <v>110.941</v>
      </c>
      <c r="E9" s="14">
        <f t="shared" si="0"/>
        <v>2.2000000000005571</v>
      </c>
      <c r="F9" s="19">
        <f t="shared" si="1"/>
        <v>2.2000000000005571E-2</v>
      </c>
      <c r="G9" s="24"/>
      <c r="H9" s="24"/>
      <c r="I9" s="15">
        <f t="shared" si="2"/>
        <v>110.93</v>
      </c>
      <c r="J9" s="1">
        <f>IF($L$1="DDE",VLOOKUP(A9,'Data - DDE'!$A$2:$I$29,8,FALSE),"")</f>
        <v>110.539</v>
      </c>
      <c r="K9" s="4">
        <f>IF($L$1="DDE",VLOOKUP(A9,'Data - DDE'!$A$2:$I$29,9,FALSE),"")</f>
        <v>110.959</v>
      </c>
      <c r="L9" s="12"/>
      <c r="M9" s="13"/>
    </row>
    <row r="10" spans="1:13" x14ac:dyDescent="0.3">
      <c r="A10" s="10" t="s">
        <v>11</v>
      </c>
      <c r="B10" s="13">
        <f>IF($L$1="DDE",VLOOKUP(A10,'Data - DDE'!$A$2:$G$29,2,FALSE),VLOOKUP(A10,#REF!,2,FALSE))</f>
        <v>43976.800000000003</v>
      </c>
      <c r="C10" s="18">
        <f>IF($L$1="DDE",VLOOKUP(A10,'Data - DDE'!$A$2:$G$29,3,FALSE),VLOOKUP(A10,#REF!,3,FALSE))</f>
        <v>1.6639999999999999</v>
      </c>
      <c r="D10" s="18">
        <f>IF($L$1="DDE",VLOOKUP(A10,'Data - DDE'!$A$2:$G$29,4,FALSE),VLOOKUP(A10,#REF!,4,FALSE))</f>
        <v>1.6642600000000001</v>
      </c>
      <c r="E10" s="14">
        <f t="shared" si="0"/>
        <v>2.60000000000149</v>
      </c>
      <c r="F10" s="19">
        <f t="shared" si="1"/>
        <v>2.60000000000149E-4</v>
      </c>
      <c r="G10" s="24"/>
      <c r="H10" s="24"/>
      <c r="I10" s="15">
        <f t="shared" si="2"/>
        <v>1.6641300000000001</v>
      </c>
      <c r="J10" s="1">
        <f>IF($L$1="DDE",VLOOKUP(A10,'Data - DDE'!$A$2:$I$29,8,FALSE),"")</f>
        <v>1.66351</v>
      </c>
      <c r="K10" s="4">
        <f>IF($L$1="DDE",VLOOKUP(A10,'Data - DDE'!$A$2:$I$29,9,FALSE),"")</f>
        <v>1.6700900000000001</v>
      </c>
      <c r="L10" s="12"/>
      <c r="M10" s="13"/>
    </row>
    <row r="11" spans="1:13" x14ac:dyDescent="0.3">
      <c r="A11" s="10" t="s">
        <v>15</v>
      </c>
      <c r="B11" s="13">
        <f>IF($L$1="DDE",VLOOKUP(A11,'Data - DDE'!$A$2:$G$29,2,FALSE),VLOOKUP(A11,#REF!,2,FALSE))</f>
        <v>43976.800694444442</v>
      </c>
      <c r="C11" s="18">
        <f>IF($L$1="DDE",VLOOKUP(A11,'Data - DDE'!$A$2:$G$29,3,FALSE),VLOOKUP(A11,#REF!,3,FALSE))</f>
        <v>1.5220100000000001</v>
      </c>
      <c r="D11" s="18">
        <f>IF($L$1="DDE",VLOOKUP(A11,'Data - DDE'!$A$2:$G$29,4,FALSE),VLOOKUP(A11,#REF!,4,FALSE))</f>
        <v>1.5223</v>
      </c>
      <c r="E11" s="14">
        <f t="shared" si="0"/>
        <v>2.8999999999990145</v>
      </c>
      <c r="F11" s="19">
        <f t="shared" si="1"/>
        <v>2.8999999999990145E-4</v>
      </c>
      <c r="G11" s="24"/>
      <c r="H11" s="24"/>
      <c r="I11" s="15">
        <f t="shared" si="2"/>
        <v>1.5221550000000001</v>
      </c>
      <c r="J11" s="1">
        <f>IF($L$1="DDE",VLOOKUP(A11,'Data - DDE'!$A$2:$I$29,8,FALSE),"")</f>
        <v>1.52138</v>
      </c>
      <c r="K11" s="4">
        <f>IF($L$1="DDE",VLOOKUP(A11,'Data - DDE'!$A$2:$I$29,9,FALSE),"")</f>
        <v>1.5263899999999999</v>
      </c>
      <c r="L11" s="12"/>
      <c r="M11" s="13"/>
    </row>
    <row r="12" spans="1:13" x14ac:dyDescent="0.3">
      <c r="A12" s="10" t="s">
        <v>30</v>
      </c>
      <c r="B12" s="13">
        <f>IF($L$1="DDE",VLOOKUP(A12,'Data - DDE'!$A$2:$G$29,2,FALSE),VLOOKUP(A12,#REF!,2,FALSE))</f>
        <v>43976.799305555556</v>
      </c>
      <c r="C12" s="18">
        <f>IF($L$1="DDE",VLOOKUP(A12,'Data - DDE'!$A$2:$G$29,3,FALSE),VLOOKUP(A12,#REF!,3,FALSE))</f>
        <v>1.05772</v>
      </c>
      <c r="D12" s="18">
        <f>IF($L$1="DDE",VLOOKUP(A12,'Data - DDE'!$A$2:$G$29,4,FALSE),VLOOKUP(A12,#REF!,4,FALSE))</f>
        <v>1.05793</v>
      </c>
      <c r="E12" s="14">
        <f t="shared" si="0"/>
        <v>2.1000000000004349</v>
      </c>
      <c r="F12" s="19">
        <f t="shared" si="1"/>
        <v>2.1000000000004349E-4</v>
      </c>
      <c r="G12" s="24"/>
      <c r="H12" s="24"/>
      <c r="I12" s="15">
        <f t="shared" si="2"/>
        <v>1.057825</v>
      </c>
      <c r="J12" s="1">
        <f>IF($L$1="DDE",VLOOKUP(A12,'Data - DDE'!$A$2:$I$29,8,FALSE),"")</f>
        <v>1.05759</v>
      </c>
      <c r="K12" s="4">
        <f>IF($L$1="DDE",VLOOKUP(A12,'Data - DDE'!$A$2:$I$29,9,FALSE),"")</f>
        <v>1.0597700000000001</v>
      </c>
      <c r="L12" s="12"/>
      <c r="M12" s="13"/>
    </row>
    <row r="13" spans="1:13" x14ac:dyDescent="0.3">
      <c r="A13" s="10" t="s">
        <v>33</v>
      </c>
      <c r="B13" s="13">
        <f>IF($L$1="DDE",VLOOKUP(A13,'Data - DDE'!$A$2:$G$29,2,FALSE),VLOOKUP(A13,#REF!,2,FALSE))</f>
        <v>43976.800000000003</v>
      </c>
      <c r="C13" s="18">
        <f>IF($L$1="DDE",VLOOKUP(A13,'Data - DDE'!$A$2:$G$29,3,FALSE),VLOOKUP(A13,#REF!,3,FALSE))</f>
        <v>0.89324000000000003</v>
      </c>
      <c r="D13" s="18">
        <f>IF($L$1="DDE",VLOOKUP(A13,'Data - DDE'!$A$2:$G$29,4,FALSE),VLOOKUP(A13,#REF!,4,FALSE))</f>
        <v>0.89344000000000001</v>
      </c>
      <c r="E13" s="14">
        <f t="shared" si="0"/>
        <v>1.9999999999997797</v>
      </c>
      <c r="F13" s="19">
        <f t="shared" si="1"/>
        <v>1.9999999999997797E-4</v>
      </c>
      <c r="G13" s="24"/>
      <c r="H13" s="24"/>
      <c r="I13" s="15">
        <f t="shared" si="2"/>
        <v>0.89334000000000002</v>
      </c>
      <c r="J13" s="1">
        <f>IF($L$1="DDE",VLOOKUP(A13,'Data - DDE'!$A$2:$I$29,8,FALSE),"")</f>
        <v>0.89273000000000002</v>
      </c>
      <c r="K13" s="4">
        <f>IF($L$1="DDE",VLOOKUP(A13,'Data - DDE'!$A$2:$I$29,9,FALSE),"")</f>
        <v>0.89605999999999997</v>
      </c>
      <c r="L13" s="12"/>
      <c r="M13" s="13"/>
    </row>
    <row r="14" spans="1:13" x14ac:dyDescent="0.3">
      <c r="A14" s="10" t="s">
        <v>20</v>
      </c>
      <c r="B14" s="13">
        <f>IF($L$1="DDE",VLOOKUP(A14,'Data - DDE'!$A$2:$G$29,2,FALSE),VLOOKUP(A14,#REF!,2,FALSE))</f>
        <v>43976.800000000003</v>
      </c>
      <c r="C14" s="18">
        <f>IF($L$1="DDE",VLOOKUP(A14,'Data - DDE'!$A$2:$G$29,3,FALSE),VLOOKUP(A14,#REF!,3,FALSE))</f>
        <v>117.334</v>
      </c>
      <c r="D14" s="18">
        <f>IF($L$1="DDE",VLOOKUP(A14,'Data - DDE'!$A$2:$G$29,4,FALSE),VLOOKUP(A14,#REF!,4,FALSE))</f>
        <v>117.352</v>
      </c>
      <c r="E14" s="14">
        <f t="shared" si="0"/>
        <v>1.8000000000000682</v>
      </c>
      <c r="F14" s="19">
        <f t="shared" si="1"/>
        <v>1.8000000000000682E-2</v>
      </c>
      <c r="G14" s="24"/>
      <c r="H14" s="24"/>
      <c r="I14" s="15">
        <f t="shared" si="2"/>
        <v>117.343</v>
      </c>
      <c r="J14" s="1">
        <f>IF($L$1="DDE",VLOOKUP(A14,'Data - DDE'!$A$2:$I$29,8,FALSE),"")</f>
        <v>117.078</v>
      </c>
      <c r="K14" s="4">
        <f>IF($L$1="DDE",VLOOKUP(A14,'Data - DDE'!$A$2:$I$29,9,FALSE),"")</f>
        <v>117.54900000000001</v>
      </c>
      <c r="L14" s="12"/>
      <c r="M14" s="13"/>
    </row>
    <row r="15" spans="1:13" x14ac:dyDescent="0.3">
      <c r="A15" s="10" t="s">
        <v>8</v>
      </c>
      <c r="B15" s="13">
        <f>IF($L$1="DDE",VLOOKUP(A15,'Data - DDE'!$A$2:$G$29,2,FALSE),VLOOKUP(A15,#REF!,2,FALSE))</f>
        <v>43976.800694444442</v>
      </c>
      <c r="C15" s="18">
        <f>IF($L$1="DDE",VLOOKUP(A15,'Data - DDE'!$A$2:$G$29,3,FALSE),VLOOKUP(A15,#REF!,3,FALSE))</f>
        <v>1.78566</v>
      </c>
      <c r="D15" s="18">
        <f>IF($L$1="DDE",VLOOKUP(A15,'Data - DDE'!$A$2:$G$29,4,FALSE),VLOOKUP(A15,#REF!,4,FALSE))</f>
        <v>1.78607</v>
      </c>
      <c r="E15" s="14">
        <f t="shared" si="0"/>
        <v>4.1000000000002146</v>
      </c>
      <c r="F15" s="19">
        <f t="shared" si="1"/>
        <v>4.1000000000002146E-4</v>
      </c>
      <c r="G15" s="24"/>
      <c r="H15" s="24"/>
      <c r="I15" s="15">
        <f t="shared" si="2"/>
        <v>1.785865</v>
      </c>
      <c r="J15" s="1">
        <f>IF($L$1="DDE",VLOOKUP(A15,'Data - DDE'!$A$2:$I$29,8,FALSE),"")</f>
        <v>1.7845500000000001</v>
      </c>
      <c r="K15" s="4">
        <f>IF($L$1="DDE",VLOOKUP(A15,'Data - DDE'!$A$2:$I$29,9,FALSE),"")</f>
        <v>1.79047</v>
      </c>
      <c r="L15" s="12"/>
      <c r="M15" s="13"/>
    </row>
    <row r="16" spans="1:13" x14ac:dyDescent="0.3">
      <c r="A16" s="10" t="s">
        <v>6</v>
      </c>
      <c r="B16" s="13">
        <f>IF($L$1="DDE",VLOOKUP(A16,'Data - DDE'!$A$2:$G$29,2,FALSE),VLOOKUP(A16,#REF!,2,FALSE))</f>
        <v>43976.800694444442</v>
      </c>
      <c r="C16" s="18">
        <f>IF($L$1="DDE",VLOOKUP(A16,'Data - DDE'!$A$2:$G$29,3,FALSE),VLOOKUP(A16,#REF!,3,FALSE))</f>
        <v>1.0895300000000001</v>
      </c>
      <c r="D16" s="18">
        <f>IF($L$1="DDE",VLOOKUP(A16,'Data - DDE'!$A$2:$G$29,4,FALSE),VLOOKUP(A16,#REF!,4,FALSE))</f>
        <v>1.0896600000000001</v>
      </c>
      <c r="E16" s="14">
        <f t="shared" si="0"/>
        <v>1.2999999999996348</v>
      </c>
      <c r="F16" s="19">
        <f t="shared" si="1"/>
        <v>1.2999999999996348E-4</v>
      </c>
      <c r="G16" s="24"/>
      <c r="H16" s="24"/>
      <c r="I16" s="15">
        <f t="shared" si="2"/>
        <v>1.0895950000000001</v>
      </c>
      <c r="J16" s="1">
        <f>IF($L$1="DDE",VLOOKUP(A16,'Data - DDE'!$A$2:$I$29,8,FALSE),"")</f>
        <v>1.0869800000000001</v>
      </c>
      <c r="K16" s="4">
        <f>IF($L$1="DDE",VLOOKUP(A16,'Data - DDE'!$A$2:$I$29,9,FALSE),"")</f>
        <v>1.0913900000000001</v>
      </c>
      <c r="L16" s="12"/>
      <c r="M16" s="13"/>
    </row>
    <row r="17" spans="1:13" x14ac:dyDescent="0.3">
      <c r="A17" s="10" t="s">
        <v>10</v>
      </c>
      <c r="B17" s="13">
        <f>IF($L$1="DDE",VLOOKUP(A17,'Data - DDE'!$A$2:$G$29,2,FALSE),VLOOKUP(A17,#REF!,2,FALSE))</f>
        <v>43976.800694444442</v>
      </c>
      <c r="C17" s="18">
        <f>IF($L$1="DDE",VLOOKUP(A17,'Data - DDE'!$A$2:$G$29,3,FALSE),VLOOKUP(A17,#REF!,3,FALSE))</f>
        <v>1.8626799999999999</v>
      </c>
      <c r="D17" s="18">
        <f>IF($L$1="DDE",VLOOKUP(A17,'Data - DDE'!$A$2:$G$29,4,FALSE),VLOOKUP(A17,#REF!,4,FALSE))</f>
        <v>1.8630800000000001</v>
      </c>
      <c r="E17" s="14">
        <f t="shared" si="0"/>
        <v>4.0000000000017799</v>
      </c>
      <c r="F17" s="19">
        <f t="shared" si="1"/>
        <v>4.0000000000017799E-4</v>
      </c>
      <c r="G17" s="24"/>
      <c r="H17" s="24"/>
      <c r="I17" s="15">
        <f t="shared" si="2"/>
        <v>1.8628800000000001</v>
      </c>
      <c r="J17" s="1">
        <f>IF($L$1="DDE",VLOOKUP(A17,'Data - DDE'!$A$2:$I$29,8,FALSE),"")</f>
        <v>1.86043</v>
      </c>
      <c r="K17" s="4">
        <f>IF($L$1="DDE",VLOOKUP(A17,'Data - DDE'!$A$2:$I$29,9,FALSE),"")</f>
        <v>1.8665</v>
      </c>
      <c r="L17" s="12"/>
      <c r="M17" s="13"/>
    </row>
    <row r="18" spans="1:13" x14ac:dyDescent="0.3">
      <c r="A18" s="10" t="s">
        <v>14</v>
      </c>
      <c r="B18" s="13">
        <f>IF($L$1="DDE",VLOOKUP(A18,'Data - DDE'!$A$2:$G$29,2,FALSE),VLOOKUP(A18,#REF!,2,FALSE))</f>
        <v>43976.800694444442</v>
      </c>
      <c r="C18" s="18">
        <f>IF($L$1="DDE",VLOOKUP(A18,'Data - DDE'!$A$2:$G$29,3,FALSE),VLOOKUP(A18,#REF!,3,FALSE))</f>
        <v>1.7037599999999999</v>
      </c>
      <c r="D18" s="18">
        <f>IF($L$1="DDE",VLOOKUP(A18,'Data - DDE'!$A$2:$G$29,4,FALSE),VLOOKUP(A18,#REF!,4,FALSE))</f>
        <v>1.70417</v>
      </c>
      <c r="E18" s="14">
        <f>IF(ISNUMBER(SEARCH("JPY",A18)),((D18-C18)*100),((D18-C18)*10000))</f>
        <v>4.1000000000002146</v>
      </c>
      <c r="F18" s="19">
        <f>IF(ISNUMBER(SEARCH("JPY",A18)),((D18-C18)),((D18-C18)))</f>
        <v>4.1000000000002146E-4</v>
      </c>
      <c r="G18" s="24"/>
      <c r="H18" s="24"/>
      <c r="I18" s="15">
        <f>AVERAGE(C18:D18)</f>
        <v>1.703965</v>
      </c>
      <c r="J18" s="1">
        <f>IF($L$1="DDE",VLOOKUP(A18,'Data - DDE'!$A$2:$I$29,8,FALSE),"")</f>
        <v>1.7017</v>
      </c>
      <c r="K18" s="4">
        <f>IF($L$1="DDE",VLOOKUP(A18,'Data - DDE'!$A$2:$I$29,9,FALSE),"")</f>
        <v>1.70621</v>
      </c>
      <c r="L18" s="12"/>
      <c r="M18" s="13"/>
    </row>
    <row r="19" spans="1:13" x14ac:dyDescent="0.3">
      <c r="A19" s="10" t="s">
        <v>29</v>
      </c>
      <c r="B19" s="13">
        <f>IF($L$1="DDE",VLOOKUP(A19,'Data - DDE'!$A$2:$G$29,2,FALSE),VLOOKUP(A19,#REF!,2,FALSE))</f>
        <v>43976.800694444442</v>
      </c>
      <c r="C19" s="18">
        <f>IF($L$1="DDE",VLOOKUP(A19,'Data - DDE'!$A$2:$G$29,3,FALSE),VLOOKUP(A19,#REF!,3,FALSE))</f>
        <v>1.1840200000000001</v>
      </c>
      <c r="D19" s="18">
        <f>IF($L$1="DDE",VLOOKUP(A19,'Data - DDE'!$A$2:$G$29,4,FALSE),VLOOKUP(A19,#REF!,4,FALSE))</f>
        <v>1.18428</v>
      </c>
      <c r="E19" s="14">
        <f t="shared" ref="E19:E29" si="3">IF(ISNUMBER(SEARCH("JPY",A19)),((D19-C19)*100),((D19-C19)*10000))</f>
        <v>2.5999999999992696</v>
      </c>
      <c r="F19" s="19">
        <f t="shared" ref="F19:F29" si="4">IF(ISNUMBER(SEARCH("JPY",A19)),((D19-C19)),((D19-C19)))</f>
        <v>2.5999999999992696E-4</v>
      </c>
      <c r="G19" s="24"/>
      <c r="H19" s="24"/>
      <c r="I19" s="15">
        <f t="shared" ref="I19:I29" si="5">AVERAGE(C19:D19)</f>
        <v>1.18415</v>
      </c>
      <c r="J19" s="1">
        <f>IF($L$1="DDE",VLOOKUP(A19,'Data - DDE'!$A$2:$I$29,8,FALSE),"")</f>
        <v>1.1817299999999999</v>
      </c>
      <c r="K19" s="4">
        <f>IF($L$1="DDE",VLOOKUP(A19,'Data - DDE'!$A$2:$I$29,9,FALSE),"")</f>
        <v>1.1854800000000001</v>
      </c>
      <c r="L19" s="12"/>
      <c r="M19" s="13"/>
    </row>
    <row r="20" spans="1:13" x14ac:dyDescent="0.3">
      <c r="A20" s="10" t="s">
        <v>19</v>
      </c>
      <c r="B20" s="13">
        <f>IF($L$1="DDE",VLOOKUP(A20,'Data - DDE'!$A$2:$G$29,2,FALSE),VLOOKUP(A20,#REF!,2,FALSE))</f>
        <v>43976.800694444442</v>
      </c>
      <c r="C20" s="18">
        <f>IF($L$1="DDE",VLOOKUP(A20,'Data - DDE'!$A$2:$G$29,3,FALSE),VLOOKUP(A20,#REF!,3,FALSE))</f>
        <v>131.34200000000001</v>
      </c>
      <c r="D20" s="18">
        <f>IF($L$1="DDE",VLOOKUP(A20,'Data - DDE'!$A$2:$G$29,4,FALSE),VLOOKUP(A20,#REF!,4,FALSE))</f>
        <v>131.37200000000001</v>
      </c>
      <c r="E20" s="14">
        <f t="shared" si="3"/>
        <v>3.0000000000001137</v>
      </c>
      <c r="F20" s="19">
        <f t="shared" si="4"/>
        <v>3.0000000000001137E-2</v>
      </c>
      <c r="G20" s="24"/>
      <c r="H20" s="24"/>
      <c r="I20" s="15">
        <f t="shared" si="5"/>
        <v>131.35700000000003</v>
      </c>
      <c r="J20" s="1">
        <f>IF($L$1="DDE",VLOOKUP(A20,'Data - DDE'!$A$2:$I$29,8,FALSE),"")</f>
        <v>130.85900000000001</v>
      </c>
      <c r="K20" s="4">
        <f>IF($L$1="DDE",VLOOKUP(A20,'Data - DDE'!$A$2:$I$29,9,FALSE),"")</f>
        <v>131.4</v>
      </c>
      <c r="L20" s="12"/>
      <c r="M20" s="13"/>
    </row>
    <row r="21" spans="1:13" x14ac:dyDescent="0.3">
      <c r="A21" s="10" t="s">
        <v>7</v>
      </c>
      <c r="B21" s="13">
        <f>IF($L$1="DDE",VLOOKUP(A21,'Data - DDE'!$A$2:$G$29,2,FALSE),VLOOKUP(A21,#REF!,2,FALSE))</f>
        <v>43976.800694444442</v>
      </c>
      <c r="C21" s="18">
        <f>IF($L$1="DDE",VLOOKUP(A21,'Data - DDE'!$A$2:$G$29,3,FALSE),VLOOKUP(A21,#REF!,3,FALSE))</f>
        <v>1.9988600000000001</v>
      </c>
      <c r="D21" s="18">
        <f>IF($L$1="DDE",VLOOKUP(A21,'Data - DDE'!$A$2:$G$29,4,FALSE),VLOOKUP(A21,#REF!,4,FALSE))</f>
        <v>1.99942</v>
      </c>
      <c r="E21" s="14">
        <f t="shared" si="3"/>
        <v>5.5999999999989392</v>
      </c>
      <c r="F21" s="19">
        <f t="shared" si="4"/>
        <v>5.5999999999989392E-4</v>
      </c>
      <c r="G21" s="24"/>
      <c r="H21" s="24"/>
      <c r="I21" s="15">
        <f t="shared" si="5"/>
        <v>1.9991400000000001</v>
      </c>
      <c r="J21" s="1">
        <f>IF($L$1="DDE",VLOOKUP(A21,'Data - DDE'!$A$2:$I$29,8,FALSE),"")</f>
        <v>1.9948399999999999</v>
      </c>
      <c r="K21" s="4">
        <f>IF($L$1="DDE",VLOOKUP(A21,'Data - DDE'!$A$2:$I$29,9,FALSE),"")</f>
        <v>2.00088</v>
      </c>
      <c r="L21" s="12"/>
      <c r="M21" s="13"/>
    </row>
    <row r="22" spans="1:13" x14ac:dyDescent="0.3">
      <c r="A22" s="10" t="s">
        <v>25</v>
      </c>
      <c r="B22" s="13">
        <f>IF($L$1="DDE",VLOOKUP(A22,'Data - DDE'!$A$2:$G$29,2,FALSE),VLOOKUP(A22,#REF!,2,FALSE))</f>
        <v>43976.800000000003</v>
      </c>
      <c r="C22" s="18">
        <f>IF($L$1="DDE",VLOOKUP(A22,'Data - DDE'!$A$2:$G$29,3,FALSE),VLOOKUP(A22,#REF!,3,FALSE))</f>
        <v>1.2196</v>
      </c>
      <c r="D22" s="18">
        <f>IF($L$1="DDE",VLOOKUP(A22,'Data - DDE'!$A$2:$G$29,4,FALSE),VLOOKUP(A22,#REF!,4,FALSE))</f>
        <v>1.2198100000000001</v>
      </c>
      <c r="E22" s="14">
        <f t="shared" si="3"/>
        <v>2.1000000000004349</v>
      </c>
      <c r="F22" s="19">
        <f t="shared" si="4"/>
        <v>2.1000000000004349E-4</v>
      </c>
      <c r="G22" s="24"/>
      <c r="H22" s="24"/>
      <c r="I22" s="15">
        <f t="shared" si="5"/>
        <v>1.219705</v>
      </c>
      <c r="J22" s="1">
        <f>IF($L$1="DDE",VLOOKUP(A22,'Data - DDE'!$A$2:$I$29,8,FALSE),"")</f>
        <v>1.21593</v>
      </c>
      <c r="K22" s="4">
        <f>IF($L$1="DDE",VLOOKUP(A22,'Data - DDE'!$A$2:$I$29,9,FALSE),"")</f>
        <v>1.22031</v>
      </c>
      <c r="L22" s="12"/>
      <c r="M22" s="13"/>
    </row>
    <row r="23" spans="1:13" x14ac:dyDescent="0.3">
      <c r="A23" s="10" t="s">
        <v>13</v>
      </c>
      <c r="B23" s="13">
        <f>IF($L$1="DDE",VLOOKUP(A23,'Data - DDE'!$A$2:$G$29,2,FALSE),VLOOKUP(A23,#REF!,2,FALSE))</f>
        <v>43976.800694444442</v>
      </c>
      <c r="C23" s="18">
        <f>IF($L$1="DDE",VLOOKUP(A23,'Data - DDE'!$A$2:$G$29,3,FALSE),VLOOKUP(A23,#REF!,3,FALSE))</f>
        <v>0.85218000000000005</v>
      </c>
      <c r="D23" s="18">
        <f>IF($L$1="DDE",VLOOKUP(A23,'Data - DDE'!$A$2:$G$29,4,FALSE),VLOOKUP(A23,#REF!,4,FALSE))</f>
        <v>0.85248000000000002</v>
      </c>
      <c r="E23" s="14">
        <f t="shared" si="3"/>
        <v>2.9999999999996696</v>
      </c>
      <c r="F23" s="19">
        <f t="shared" si="4"/>
        <v>2.9999999999996696E-4</v>
      </c>
      <c r="G23" s="24"/>
      <c r="H23" s="24"/>
      <c r="I23" s="15">
        <f t="shared" si="5"/>
        <v>0.85233000000000003</v>
      </c>
      <c r="J23" s="1">
        <f>IF($L$1="DDE",VLOOKUP(A23,'Data - DDE'!$A$2:$I$29,8,FALSE),"")</f>
        <v>0.85145999999999999</v>
      </c>
      <c r="K23" s="4">
        <f>IF($L$1="DDE",VLOOKUP(A23,'Data - DDE'!$A$2:$I$29,9,FALSE),"")</f>
        <v>0.85394999999999999</v>
      </c>
      <c r="L23" s="12"/>
      <c r="M23" s="13"/>
    </row>
    <row r="24" spans="1:13" x14ac:dyDescent="0.3">
      <c r="A24" s="10" t="s">
        <v>28</v>
      </c>
      <c r="B24" s="13">
        <f>IF($L$1="DDE",VLOOKUP(A24,'Data - DDE'!$A$2:$G$29,2,FALSE),VLOOKUP(A24,#REF!,2,FALSE))</f>
        <v>43976.799305555556</v>
      </c>
      <c r="C24" s="18">
        <f>IF($L$1="DDE",VLOOKUP(A24,'Data - DDE'!$A$2:$G$29,3,FALSE),VLOOKUP(A24,#REF!,3,FALSE))</f>
        <v>0.59221000000000001</v>
      </c>
      <c r="D24" s="18">
        <f>IF($L$1="DDE",VLOOKUP(A24,'Data - DDE'!$A$2:$G$29,4,FALSE),VLOOKUP(A24,#REF!,4,FALSE))</f>
        <v>0.59253</v>
      </c>
      <c r="E24" s="14">
        <f t="shared" si="3"/>
        <v>3.1999999999998696</v>
      </c>
      <c r="F24" s="19">
        <f t="shared" si="4"/>
        <v>3.1999999999998696E-4</v>
      </c>
      <c r="G24" s="24"/>
      <c r="H24" s="24"/>
      <c r="I24" s="15">
        <f t="shared" si="5"/>
        <v>0.59237000000000006</v>
      </c>
      <c r="J24" s="1">
        <f>IF($L$1="DDE",VLOOKUP(A24,'Data - DDE'!$A$2:$I$29,8,FALSE),"")</f>
        <v>0.59050999999999998</v>
      </c>
      <c r="K24" s="4">
        <f>IF($L$1="DDE",VLOOKUP(A24,'Data - DDE'!$A$2:$I$29,9,FALSE),"")</f>
        <v>0.59321000000000002</v>
      </c>
      <c r="L24" s="12"/>
      <c r="M24" s="13"/>
    </row>
    <row r="25" spans="1:13" x14ac:dyDescent="0.3">
      <c r="A25" s="10" t="s">
        <v>18</v>
      </c>
      <c r="B25" s="13">
        <f>IF($L$1="DDE",VLOOKUP(A25,'Data - DDE'!$A$2:$G$29,2,FALSE),VLOOKUP(A25,#REF!,2,FALSE))</f>
        <v>43976.800000000003</v>
      </c>
      <c r="C25" s="18">
        <f>IF($L$1="DDE",VLOOKUP(A25,'Data - DDE'!$A$2:$G$29,3,FALSE),VLOOKUP(A25,#REF!,3,FALSE))</f>
        <v>65.694999999999993</v>
      </c>
      <c r="D25" s="18">
        <f>IF($L$1="DDE",VLOOKUP(A25,'Data - DDE'!$A$2:$G$29,4,FALSE),VLOOKUP(A25,#REF!,4,FALSE))</f>
        <v>65.718000000000004</v>
      </c>
      <c r="E25" s="14">
        <f t="shared" si="3"/>
        <v>2.3000000000010346</v>
      </c>
      <c r="F25" s="19">
        <f t="shared" si="4"/>
        <v>2.3000000000010346E-2</v>
      </c>
      <c r="G25" s="24"/>
      <c r="H25" s="24"/>
      <c r="I25" s="15">
        <f t="shared" si="5"/>
        <v>65.706500000000005</v>
      </c>
      <c r="J25" s="1">
        <f>IF($L$1="DDE",VLOOKUP(A25,'Data - DDE'!$A$2:$I$29,8,FALSE),"")</f>
        <v>65.438000000000002</v>
      </c>
      <c r="K25" s="4">
        <f>IF($L$1="DDE",VLOOKUP(A25,'Data - DDE'!$A$2:$I$29,9,FALSE),"")</f>
        <v>65.802999999999997</v>
      </c>
      <c r="L25" s="12"/>
      <c r="M25" s="13"/>
    </row>
    <row r="26" spans="1:13" x14ac:dyDescent="0.3">
      <c r="A26" s="10" t="s">
        <v>24</v>
      </c>
      <c r="B26" s="13">
        <f>IF($L$1="DDE",VLOOKUP(A26,'Data - DDE'!$A$2:$G$29,2,FALSE),VLOOKUP(A26,#REF!,2,FALSE))</f>
        <v>43976.799305555556</v>
      </c>
      <c r="C26" s="18">
        <f>IF($L$1="DDE",VLOOKUP(A26,'Data - DDE'!$A$2:$G$29,3,FALSE),VLOOKUP(A26,#REF!,3,FALSE))</f>
        <v>0.61002999999999996</v>
      </c>
      <c r="D26" s="18">
        <f>IF($L$1="DDE",VLOOKUP(A26,'Data - DDE'!$A$2:$G$29,4,FALSE),VLOOKUP(A26,#REF!,4,FALSE))</f>
        <v>0.61021999999999998</v>
      </c>
      <c r="E26" s="14">
        <f t="shared" si="3"/>
        <v>1.9000000000002348</v>
      </c>
      <c r="F26" s="19">
        <f t="shared" si="4"/>
        <v>1.9000000000002348E-4</v>
      </c>
      <c r="G26" s="24"/>
      <c r="H26" s="24"/>
      <c r="I26" s="15">
        <f t="shared" si="5"/>
        <v>0.61012500000000003</v>
      </c>
      <c r="J26" s="1">
        <f>IF($L$1="DDE",VLOOKUP(A26,'Data - DDE'!$A$2:$I$29,8,FALSE),"")</f>
        <v>0.60812999999999995</v>
      </c>
      <c r="K26" s="4">
        <f>IF($L$1="DDE",VLOOKUP(A26,'Data - DDE'!$A$2:$I$29,9,FALSE),"")</f>
        <v>0.61077000000000004</v>
      </c>
      <c r="L26" s="12"/>
      <c r="M26" s="13"/>
    </row>
    <row r="27" spans="1:13" x14ac:dyDescent="0.3">
      <c r="A27" s="20" t="s">
        <v>12</v>
      </c>
      <c r="B27" s="13">
        <f>IF($L$1="DDE",VLOOKUP(A27,'Data - DDE'!$A$2:$G$29,2,FALSE),VLOOKUP(A27,#REF!,2,FALSE))</f>
        <v>43976.800000000003</v>
      </c>
      <c r="C27" s="18">
        <f>IF($L$1="DDE",VLOOKUP(A27,'Data - DDE'!$A$2:$G$29,3,FALSE),VLOOKUP(A27,#REF!,3,FALSE))</f>
        <v>1.3969</v>
      </c>
      <c r="D27" s="18">
        <f>IF($L$1="DDE",VLOOKUP(A27,'Data - DDE'!$A$2:$G$29,4,FALSE),VLOOKUP(A27,#REF!,4,FALSE))</f>
        <v>1.3970899999999999</v>
      </c>
      <c r="E27" s="14">
        <f t="shared" si="3"/>
        <v>1.8999999999991246</v>
      </c>
      <c r="F27" s="19">
        <f t="shared" si="4"/>
        <v>1.8999999999991246E-4</v>
      </c>
      <c r="G27" s="24"/>
      <c r="H27" s="24"/>
      <c r="I27" s="15">
        <f t="shared" si="5"/>
        <v>1.396995</v>
      </c>
      <c r="J27" s="1">
        <f>IF($L$1="DDE",VLOOKUP(A27,'Data - DDE'!$A$2:$I$29,8,FALSE),"")</f>
        <v>1.39673</v>
      </c>
      <c r="K27" s="4">
        <f>IF($L$1="DDE",VLOOKUP(A27,'Data - DDE'!$A$2:$I$29,9,FALSE),"")</f>
        <v>1.4006799999999999</v>
      </c>
      <c r="L27" s="12"/>
      <c r="M27" s="13"/>
    </row>
    <row r="28" spans="1:13" x14ac:dyDescent="0.3">
      <c r="A28" s="20" t="s">
        <v>27</v>
      </c>
      <c r="B28" s="13">
        <f>IF($L$1="DDE",VLOOKUP(A28,'Data - DDE'!$A$2:$G$29,2,FALSE),VLOOKUP(A28,#REF!,2,FALSE))</f>
        <v>43976.799305555556</v>
      </c>
      <c r="C28" s="18">
        <f>IF($L$1="DDE",VLOOKUP(A28,'Data - DDE'!$A$2:$G$29,3,FALSE),VLOOKUP(A28,#REF!,3,FALSE))</f>
        <v>0.97077000000000002</v>
      </c>
      <c r="D28" s="18">
        <f>IF($L$1="DDE",VLOOKUP(A28,'Data - DDE'!$A$2:$G$29,4,FALSE),VLOOKUP(A28,#REF!,4,FALSE))</f>
        <v>0.97097</v>
      </c>
      <c r="E28" s="14">
        <f t="shared" si="3"/>
        <v>1.9999999999997797</v>
      </c>
      <c r="F28" s="19">
        <f t="shared" si="4"/>
        <v>1.9999999999997797E-4</v>
      </c>
      <c r="G28" s="24"/>
      <c r="H28" s="24"/>
      <c r="I28" s="15">
        <f t="shared" si="5"/>
        <v>0.97087000000000001</v>
      </c>
      <c r="J28" s="1">
        <f>IF($L$1="DDE",VLOOKUP(A28,'Data - DDE'!$A$2:$I$29,8,FALSE),"")</f>
        <v>0.97036</v>
      </c>
      <c r="K28" s="4">
        <f>IF($L$1="DDE",VLOOKUP(A28,'Data - DDE'!$A$2:$I$29,9,FALSE),"")</f>
        <v>0.97350999999999999</v>
      </c>
      <c r="L28" s="12"/>
      <c r="M28" s="13"/>
    </row>
    <row r="29" spans="1:13" x14ac:dyDescent="0.3">
      <c r="A29" s="20" t="s">
        <v>17</v>
      </c>
      <c r="B29" s="13">
        <f>IF($L$1="DDE",VLOOKUP(A29,'Data - DDE'!$A$2:$G$29,2,FALSE),VLOOKUP(A29,#REF!,2,FALSE))</f>
        <v>43976.800000000003</v>
      </c>
      <c r="C29" s="18">
        <f>IF($L$1="DDE",VLOOKUP(A29,'Data - DDE'!$A$2:$G$29,3,FALSE),VLOOKUP(A29,#REF!,3,FALSE))</f>
        <v>107.68600000000001</v>
      </c>
      <c r="D29" s="18">
        <f>IF($L$1="DDE",VLOOKUP(A29,'Data - DDE'!$A$2:$G$29,4,FALSE),VLOOKUP(A29,#REF!,4,FALSE))</f>
        <v>107.702</v>
      </c>
      <c r="E29" s="14">
        <f t="shared" si="3"/>
        <v>1.5999999999991132</v>
      </c>
      <c r="F29" s="19">
        <f t="shared" si="4"/>
        <v>1.5999999999991132E-2</v>
      </c>
      <c r="G29" s="24"/>
      <c r="H29" s="24"/>
      <c r="I29" s="15">
        <f t="shared" si="5"/>
        <v>107.694</v>
      </c>
      <c r="J29" s="1">
        <f>IF($L$1="DDE",VLOOKUP(A29,'Data - DDE'!$A$2:$I$29,8,FALSE),"")</f>
        <v>107.517</v>
      </c>
      <c r="K29" s="4">
        <f>IF($L$1="DDE",VLOOKUP(A29,'Data - DDE'!$A$2:$I$29,9,FALSE),"")</f>
        <v>107.776</v>
      </c>
      <c r="L29" s="12"/>
      <c r="M29" s="13"/>
    </row>
    <row r="30" spans="1:13" x14ac:dyDescent="0.3">
      <c r="A30" s="1"/>
      <c r="B30" s="1"/>
      <c r="C30" s="1"/>
      <c r="D30" s="1"/>
      <c r="E30" s="1"/>
      <c r="F30" s="1"/>
      <c r="G30" s="24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74969-686D-4D2D-A3E4-1362C89A37A3}">
  <sheetPr codeName="Sheet13"/>
  <dimension ref="A1:J30"/>
  <sheetViews>
    <sheetView workbookViewId="0">
      <selection activeCell="E3" sqref="E3"/>
    </sheetView>
  </sheetViews>
  <sheetFormatPr defaultRowHeight="14.4" x14ac:dyDescent="0.3"/>
  <cols>
    <col min="1" max="2" width="16.44140625" style="4" customWidth="1"/>
    <col min="3" max="4" width="16.44140625" style="29" customWidth="1"/>
    <col min="5" max="9" width="16.44140625" style="4" customWidth="1"/>
    <col min="10" max="10" width="14.6640625" style="4" bestFit="1" customWidth="1"/>
    <col min="11" max="16384" width="8.88671875" style="4"/>
  </cols>
  <sheetData>
    <row r="1" spans="1:10" s="3" customFormat="1" x14ac:dyDescent="0.3">
      <c r="A1" s="16" t="s">
        <v>37</v>
      </c>
      <c r="B1" s="17" t="s">
        <v>42</v>
      </c>
      <c r="C1" s="27" t="s">
        <v>38</v>
      </c>
      <c r="D1" s="27" t="s">
        <v>39</v>
      </c>
      <c r="E1" s="9" t="s">
        <v>45</v>
      </c>
      <c r="F1" s="9" t="s">
        <v>46</v>
      </c>
      <c r="G1" s="9" t="s">
        <v>47</v>
      </c>
      <c r="H1" s="9" t="s">
        <v>5</v>
      </c>
      <c r="I1" s="9" t="s">
        <v>4</v>
      </c>
    </row>
    <row r="2" spans="1:10" x14ac:dyDescent="0.3">
      <c r="A2" s="10" t="s">
        <v>16</v>
      </c>
      <c r="B2" s="13">
        <f>[2]!AUDCAD</f>
        <v>43976.800694444442</v>
      </c>
      <c r="C2" s="28">
        <f>[3]!AUDCAD</f>
        <v>0.91454999999999997</v>
      </c>
      <c r="D2" s="28">
        <f>[4]!AUDCAD</f>
        <v>0.91479999999999995</v>
      </c>
      <c r="E2" s="14">
        <f>IF(ISNUMBER(SEARCH("JPY",A2)),((D2-C2)*100),((D2-C2)*10000))</f>
        <v>2.4999999999997247</v>
      </c>
      <c r="F2" s="19">
        <f>IF(ISNUMBER(SEARCH("JPY",A2)),((D2-C2)),((D2-C2)))</f>
        <v>2.4999999999997247E-4</v>
      </c>
      <c r="G2" s="15">
        <f>AVERAGE(C2:D2)</f>
        <v>0.9146749999999999</v>
      </c>
      <c r="H2" s="28">
        <f>[5]!AUDCAD</f>
        <v>0.91264000000000001</v>
      </c>
      <c r="I2" s="28">
        <f>[6]!AUDCAD</f>
        <v>0.91583999999999999</v>
      </c>
      <c r="J2" s="13"/>
    </row>
    <row r="3" spans="1:10" x14ac:dyDescent="0.3">
      <c r="A3" s="10" t="s">
        <v>32</v>
      </c>
      <c r="B3" s="13">
        <f>[2]!AUDCHF</f>
        <v>43976.799305555556</v>
      </c>
      <c r="C3" s="28">
        <f>[3]!AUDCHF</f>
        <v>0.63551999999999997</v>
      </c>
      <c r="D3" s="28">
        <f>[4]!AUDCHF</f>
        <v>0.63580999999999999</v>
      </c>
      <c r="E3" s="14">
        <f>IF(ISNUMBER(SEARCH("JPY",A3)),((D3-C3)*100),((D3-C3)*10000))</f>
        <v>2.9000000000001247</v>
      </c>
      <c r="F3" s="19">
        <f t="shared" ref="F3:F29" si="0">IF(ISNUMBER(SEARCH("JPY",A3)),((D3-C3)),((D3-C3)))</f>
        <v>2.9000000000001247E-4</v>
      </c>
      <c r="G3" s="15">
        <f t="shared" ref="G3:G29" si="1">AVERAGE(C3:D3)</f>
        <v>0.63566499999999992</v>
      </c>
      <c r="H3" s="28">
        <f>[5]!AUDCHF</f>
        <v>0.63360000000000005</v>
      </c>
      <c r="I3" s="28">
        <f>[6]!AUDCHF</f>
        <v>0.63617000000000001</v>
      </c>
      <c r="J3" s="13"/>
    </row>
    <row r="4" spans="1:10" x14ac:dyDescent="0.3">
      <c r="A4" s="10" t="s">
        <v>23</v>
      </c>
      <c r="B4" s="13">
        <f>[2]!AUDJPY</f>
        <v>43976.800000000003</v>
      </c>
      <c r="C4" s="28">
        <f>[3]!AUDJPY</f>
        <v>70.504999999999995</v>
      </c>
      <c r="D4" s="28">
        <f>[4]!AUDJPY</f>
        <v>70.521000000000001</v>
      </c>
      <c r="E4" s="14">
        <f t="shared" ref="E4:E29" si="2">IF(ISNUMBER(SEARCH("JPY",A4)),((D4-C4)*100),((D4-C4)*10000))</f>
        <v>1.6000000000005343</v>
      </c>
      <c r="F4" s="19">
        <f t="shared" si="0"/>
        <v>1.6000000000005343E-2</v>
      </c>
      <c r="G4" s="15">
        <f t="shared" si="1"/>
        <v>70.513000000000005</v>
      </c>
      <c r="H4" s="28">
        <f>[5]!AUDJPY</f>
        <v>70.19</v>
      </c>
      <c r="I4" s="28">
        <f>[6]!AUDJPY</f>
        <v>70.573999999999998</v>
      </c>
      <c r="J4" s="13"/>
    </row>
    <row r="5" spans="1:10" x14ac:dyDescent="0.3">
      <c r="A5" s="10" t="s">
        <v>9</v>
      </c>
      <c r="B5" s="13">
        <f>[2]!AUDNZD</f>
        <v>43976.800000000003</v>
      </c>
      <c r="C5" s="28">
        <f>[3]!AUDNZD</f>
        <v>1.0729599999999999</v>
      </c>
      <c r="D5" s="28">
        <f>[4]!AUDNZD</f>
        <v>1.0732999999999999</v>
      </c>
      <c r="E5" s="14">
        <f t="shared" si="2"/>
        <v>3.4000000000000696</v>
      </c>
      <c r="F5" s="19">
        <f t="shared" si="0"/>
        <v>3.4000000000000696E-4</v>
      </c>
      <c r="G5" s="15">
        <f t="shared" si="1"/>
        <v>1.0731299999999999</v>
      </c>
      <c r="H5" s="28">
        <f>[5]!AUDNZD</f>
        <v>1.07056</v>
      </c>
      <c r="I5" s="28">
        <f>[6]!AUDNZD</f>
        <v>1.07352</v>
      </c>
      <c r="J5" s="13"/>
    </row>
    <row r="6" spans="1:10" x14ac:dyDescent="0.3">
      <c r="A6" s="10" t="s">
        <v>26</v>
      </c>
      <c r="B6" s="13">
        <f>[2]!AUDUSD</f>
        <v>43976.799305555556</v>
      </c>
      <c r="C6" s="28">
        <f>[3]!AUDUSD</f>
        <v>0.65466000000000002</v>
      </c>
      <c r="D6" s="28">
        <f>[4]!AUDUSD</f>
        <v>0.65481999999999996</v>
      </c>
      <c r="E6" s="14">
        <f t="shared" si="2"/>
        <v>1.5999999999993797</v>
      </c>
      <c r="F6" s="19">
        <f t="shared" si="0"/>
        <v>1.5999999999993797E-4</v>
      </c>
      <c r="G6" s="15">
        <f t="shared" si="1"/>
        <v>0.65473999999999999</v>
      </c>
      <c r="H6" s="28">
        <f>[5]!AUDUSD</f>
        <v>0.65192000000000005</v>
      </c>
      <c r="I6" s="28">
        <f>[6]!AUDUSD</f>
        <v>0.65491999999999995</v>
      </c>
      <c r="J6" s="13"/>
    </row>
    <row r="7" spans="1:10" x14ac:dyDescent="0.3">
      <c r="A7" s="10" t="s">
        <v>31</v>
      </c>
      <c r="B7" s="13">
        <f>[2]!CADCHF</f>
        <v>43976.799305555556</v>
      </c>
      <c r="C7" s="28">
        <f>[3]!CADCHF</f>
        <v>0.69484000000000001</v>
      </c>
      <c r="D7" s="28">
        <f>[4]!CADCHF</f>
        <v>0.69508999999999999</v>
      </c>
      <c r="E7" s="14">
        <f t="shared" si="2"/>
        <v>2.4999999999997247</v>
      </c>
      <c r="F7" s="19">
        <f t="shared" si="0"/>
        <v>2.4999999999997247E-4</v>
      </c>
      <c r="G7" s="15">
        <f t="shared" si="1"/>
        <v>0.69496500000000005</v>
      </c>
      <c r="H7" s="28">
        <f>[5]!CADCHF</f>
        <v>0.69313999999999998</v>
      </c>
      <c r="I7" s="28">
        <f>[6]!CADCHF</f>
        <v>0.69588000000000005</v>
      </c>
      <c r="J7" s="13"/>
    </row>
    <row r="8" spans="1:10" x14ac:dyDescent="0.3">
      <c r="A8" s="10" t="s">
        <v>22</v>
      </c>
      <c r="B8" s="13">
        <f>[2]!CADJPY</f>
        <v>43976.800000000003</v>
      </c>
      <c r="C8" s="28">
        <f>[3]!CADJPY</f>
        <v>77.078999999999994</v>
      </c>
      <c r="D8" s="28">
        <f>[4]!CADJPY</f>
        <v>77.096000000000004</v>
      </c>
      <c r="E8" s="14">
        <f t="shared" si="2"/>
        <v>1.7000000000010118</v>
      </c>
      <c r="F8" s="19">
        <f t="shared" si="0"/>
        <v>1.7000000000010118E-2</v>
      </c>
      <c r="G8" s="15">
        <f t="shared" si="1"/>
        <v>77.087500000000006</v>
      </c>
      <c r="H8" s="28">
        <f>[5]!CADJPY</f>
        <v>76.759</v>
      </c>
      <c r="I8" s="28">
        <f>[6]!CADJPY</f>
        <v>77.091999999999999</v>
      </c>
      <c r="J8" s="13"/>
    </row>
    <row r="9" spans="1:10" x14ac:dyDescent="0.3">
      <c r="A9" s="10" t="s">
        <v>21</v>
      </c>
      <c r="B9" s="13">
        <f>[2]!CHFJPY</f>
        <v>43976.800000000003</v>
      </c>
      <c r="C9" s="28">
        <f>[3]!CHFJPY</f>
        <v>110.919</v>
      </c>
      <c r="D9" s="28">
        <f>[4]!CHFJPY</f>
        <v>110.941</v>
      </c>
      <c r="E9" s="14">
        <f t="shared" si="2"/>
        <v>2.2000000000005571</v>
      </c>
      <c r="F9" s="19">
        <f t="shared" si="0"/>
        <v>2.2000000000005571E-2</v>
      </c>
      <c r="G9" s="15">
        <f t="shared" si="1"/>
        <v>110.93</v>
      </c>
      <c r="H9" s="28">
        <f>[5]!CHFJPY</f>
        <v>110.539</v>
      </c>
      <c r="I9" s="28">
        <f>[6]!CHFJPY</f>
        <v>110.959</v>
      </c>
      <c r="J9" s="13"/>
    </row>
    <row r="10" spans="1:10" x14ac:dyDescent="0.3">
      <c r="A10" s="10" t="s">
        <v>11</v>
      </c>
      <c r="B10" s="13">
        <f>[2]!EURAUD</f>
        <v>43976.800000000003</v>
      </c>
      <c r="C10" s="28">
        <f>[3]!EURAUD</f>
        <v>1.6639999999999999</v>
      </c>
      <c r="D10" s="28">
        <f>[4]!EURAUD</f>
        <v>1.6642600000000001</v>
      </c>
      <c r="E10" s="14">
        <f t="shared" si="2"/>
        <v>2.60000000000149</v>
      </c>
      <c r="F10" s="19">
        <f t="shared" si="0"/>
        <v>2.60000000000149E-4</v>
      </c>
      <c r="G10" s="15">
        <f t="shared" si="1"/>
        <v>1.6641300000000001</v>
      </c>
      <c r="H10" s="28">
        <f>[5]!EURAUD</f>
        <v>1.66351</v>
      </c>
      <c r="I10" s="28">
        <f>[6]!EURAUD</f>
        <v>1.6700900000000001</v>
      </c>
      <c r="J10" s="13"/>
    </row>
    <row r="11" spans="1:10" x14ac:dyDescent="0.3">
      <c r="A11" s="10" t="s">
        <v>15</v>
      </c>
      <c r="B11" s="13">
        <f>[2]!EURCAD</f>
        <v>43976.800694444442</v>
      </c>
      <c r="C11" s="28">
        <f>[3]!EURCAD</f>
        <v>1.5220100000000001</v>
      </c>
      <c r="D11" s="28">
        <f>[4]!EURCAD</f>
        <v>1.5223</v>
      </c>
      <c r="E11" s="14">
        <f t="shared" si="2"/>
        <v>2.8999999999990145</v>
      </c>
      <c r="F11" s="19">
        <f t="shared" si="0"/>
        <v>2.8999999999990145E-4</v>
      </c>
      <c r="G11" s="15">
        <f t="shared" si="1"/>
        <v>1.5221550000000001</v>
      </c>
      <c r="H11" s="28">
        <f>[5]!EURCAD</f>
        <v>1.52138</v>
      </c>
      <c r="I11" s="28">
        <f>[6]!EURCAD</f>
        <v>1.5263899999999999</v>
      </c>
      <c r="J11" s="13"/>
    </row>
    <row r="12" spans="1:10" x14ac:dyDescent="0.3">
      <c r="A12" s="10" t="s">
        <v>30</v>
      </c>
      <c r="B12" s="13">
        <f>[2]!EURCHF</f>
        <v>43976.799305555556</v>
      </c>
      <c r="C12" s="28">
        <f>[3]!EURCHF</f>
        <v>1.05772</v>
      </c>
      <c r="D12" s="28">
        <f>[4]!EURCHF</f>
        <v>1.05793</v>
      </c>
      <c r="E12" s="14">
        <f t="shared" si="2"/>
        <v>2.1000000000004349</v>
      </c>
      <c r="F12" s="19">
        <f t="shared" si="0"/>
        <v>2.1000000000004349E-4</v>
      </c>
      <c r="G12" s="15">
        <f t="shared" si="1"/>
        <v>1.057825</v>
      </c>
      <c r="H12" s="28">
        <f>[5]!EURCHF</f>
        <v>1.05759</v>
      </c>
      <c r="I12" s="28">
        <f>[6]!EURCHF</f>
        <v>1.0597700000000001</v>
      </c>
      <c r="J12" s="13"/>
    </row>
    <row r="13" spans="1:10" x14ac:dyDescent="0.3">
      <c r="A13" s="10" t="s">
        <v>33</v>
      </c>
      <c r="B13" s="13">
        <f>[2]!EURGBP</f>
        <v>43976.800000000003</v>
      </c>
      <c r="C13" s="28">
        <f>[3]!EURGBP</f>
        <v>0.89324000000000003</v>
      </c>
      <c r="D13" s="28">
        <f>[4]!EURGBP</f>
        <v>0.89344000000000001</v>
      </c>
      <c r="E13" s="14">
        <f t="shared" si="2"/>
        <v>1.9999999999997797</v>
      </c>
      <c r="F13" s="19">
        <f t="shared" si="0"/>
        <v>1.9999999999997797E-4</v>
      </c>
      <c r="G13" s="15">
        <f t="shared" si="1"/>
        <v>0.89334000000000002</v>
      </c>
      <c r="H13" s="28">
        <f>[5]!EURGBP</f>
        <v>0.89273000000000002</v>
      </c>
      <c r="I13" s="28">
        <f>[6]!EURGBP</f>
        <v>0.89605999999999997</v>
      </c>
      <c r="J13" s="13"/>
    </row>
    <row r="14" spans="1:10" x14ac:dyDescent="0.3">
      <c r="A14" s="10" t="s">
        <v>20</v>
      </c>
      <c r="B14" s="13">
        <f>[2]!EURJPY</f>
        <v>43976.800000000003</v>
      </c>
      <c r="C14" s="28">
        <f>[3]!EURJPY</f>
        <v>117.334</v>
      </c>
      <c r="D14" s="28">
        <f>[4]!EURJPY</f>
        <v>117.352</v>
      </c>
      <c r="E14" s="14">
        <f t="shared" si="2"/>
        <v>1.8000000000000682</v>
      </c>
      <c r="F14" s="19">
        <f t="shared" si="0"/>
        <v>1.8000000000000682E-2</v>
      </c>
      <c r="G14" s="15">
        <f t="shared" si="1"/>
        <v>117.343</v>
      </c>
      <c r="H14" s="28">
        <f>[5]!EURJPY</f>
        <v>117.078</v>
      </c>
      <c r="I14" s="28">
        <f>[6]!EURJPY</f>
        <v>117.54900000000001</v>
      </c>
      <c r="J14" s="13"/>
    </row>
    <row r="15" spans="1:10" x14ac:dyDescent="0.3">
      <c r="A15" s="10" t="s">
        <v>8</v>
      </c>
      <c r="B15" s="13">
        <f>[2]!EURNZD</f>
        <v>43976.800694444442</v>
      </c>
      <c r="C15" s="28">
        <f>[3]!EURNZD</f>
        <v>1.78566</v>
      </c>
      <c r="D15" s="28">
        <f>[4]!EURNZD</f>
        <v>1.78607</v>
      </c>
      <c r="E15" s="14">
        <f t="shared" si="2"/>
        <v>4.1000000000002146</v>
      </c>
      <c r="F15" s="19">
        <f t="shared" si="0"/>
        <v>4.1000000000002146E-4</v>
      </c>
      <c r="G15" s="15">
        <f t="shared" si="1"/>
        <v>1.785865</v>
      </c>
      <c r="H15" s="28">
        <f>[5]!EURNZD</f>
        <v>1.7845500000000001</v>
      </c>
      <c r="I15" s="28">
        <f>[6]!EURNZD</f>
        <v>1.79047</v>
      </c>
      <c r="J15" s="13"/>
    </row>
    <row r="16" spans="1:10" x14ac:dyDescent="0.3">
      <c r="A16" s="10" t="s">
        <v>6</v>
      </c>
      <c r="B16" s="13">
        <f>[2]!EURUSD</f>
        <v>43976.800694444442</v>
      </c>
      <c r="C16" s="28">
        <f>[3]!EURUSD</f>
        <v>1.0895300000000001</v>
      </c>
      <c r="D16" s="28">
        <f>[4]!EURUSD</f>
        <v>1.0896600000000001</v>
      </c>
      <c r="E16" s="14">
        <f t="shared" si="2"/>
        <v>1.2999999999996348</v>
      </c>
      <c r="F16" s="19">
        <f t="shared" si="0"/>
        <v>1.2999999999996348E-4</v>
      </c>
      <c r="G16" s="15">
        <f t="shared" si="1"/>
        <v>1.0895950000000001</v>
      </c>
      <c r="H16" s="28">
        <f>[5]!EURUSD</f>
        <v>1.0869800000000001</v>
      </c>
      <c r="I16" s="28">
        <f>[6]!EURUSD</f>
        <v>1.0913900000000001</v>
      </c>
      <c r="J16" s="13"/>
    </row>
    <row r="17" spans="1:10" x14ac:dyDescent="0.3">
      <c r="A17" s="10" t="s">
        <v>10</v>
      </c>
      <c r="B17" s="13">
        <f>[2]!GBPAUD</f>
        <v>43976.800694444442</v>
      </c>
      <c r="C17" s="28">
        <f>[3]!GBPAUD</f>
        <v>1.8626799999999999</v>
      </c>
      <c r="D17" s="28">
        <f>[4]!GBPAUD</f>
        <v>1.8630800000000001</v>
      </c>
      <c r="E17" s="14">
        <f t="shared" si="2"/>
        <v>4.0000000000017799</v>
      </c>
      <c r="F17" s="19">
        <f t="shared" si="0"/>
        <v>4.0000000000017799E-4</v>
      </c>
      <c r="G17" s="15">
        <f t="shared" si="1"/>
        <v>1.8628800000000001</v>
      </c>
      <c r="H17" s="28">
        <f>[5]!GBPAUD</f>
        <v>1.86043</v>
      </c>
      <c r="I17" s="28">
        <f>[6]!GBPAUD</f>
        <v>1.8665</v>
      </c>
      <c r="J17" s="13"/>
    </row>
    <row r="18" spans="1:10" x14ac:dyDescent="0.3">
      <c r="A18" s="10" t="s">
        <v>14</v>
      </c>
      <c r="B18" s="13">
        <f>[2]!GBPCAD</f>
        <v>43976.800694444442</v>
      </c>
      <c r="C18" s="28">
        <f>[3]!GBPCAD</f>
        <v>1.7037599999999999</v>
      </c>
      <c r="D18" s="28">
        <f>[4]!GBPCAD</f>
        <v>1.70417</v>
      </c>
      <c r="E18" s="14">
        <f t="shared" si="2"/>
        <v>4.1000000000002146</v>
      </c>
      <c r="F18" s="19">
        <f t="shared" si="0"/>
        <v>4.1000000000002146E-4</v>
      </c>
      <c r="G18" s="15">
        <f t="shared" si="1"/>
        <v>1.703965</v>
      </c>
      <c r="H18" s="28">
        <f>[5]!GBPCAD</f>
        <v>1.7017</v>
      </c>
      <c r="I18" s="28">
        <f>[6]!GBPCAD</f>
        <v>1.70621</v>
      </c>
      <c r="J18" s="13"/>
    </row>
    <row r="19" spans="1:10" x14ac:dyDescent="0.3">
      <c r="A19" s="10" t="s">
        <v>29</v>
      </c>
      <c r="B19" s="13">
        <f>[2]!GBPCHF</f>
        <v>43976.800694444442</v>
      </c>
      <c r="C19" s="28">
        <f>[3]!GBPCHF</f>
        <v>1.1840200000000001</v>
      </c>
      <c r="D19" s="28">
        <f>[4]!GBPCHF</f>
        <v>1.18428</v>
      </c>
      <c r="E19" s="14">
        <f t="shared" si="2"/>
        <v>2.5999999999992696</v>
      </c>
      <c r="F19" s="19">
        <f t="shared" si="0"/>
        <v>2.5999999999992696E-4</v>
      </c>
      <c r="G19" s="15">
        <f t="shared" si="1"/>
        <v>1.18415</v>
      </c>
      <c r="H19" s="28">
        <f>[5]!GBPCHF</f>
        <v>1.1817299999999999</v>
      </c>
      <c r="I19" s="28">
        <f>[6]!GBPCHF</f>
        <v>1.1854800000000001</v>
      </c>
      <c r="J19" s="13"/>
    </row>
    <row r="20" spans="1:10" x14ac:dyDescent="0.3">
      <c r="A20" s="10" t="s">
        <v>19</v>
      </c>
      <c r="B20" s="13">
        <f>[2]!GBPJPY</f>
        <v>43976.800694444442</v>
      </c>
      <c r="C20" s="28">
        <f>[3]!GBPJPY</f>
        <v>131.34200000000001</v>
      </c>
      <c r="D20" s="28">
        <f>[4]!GBPJPY</f>
        <v>131.37200000000001</v>
      </c>
      <c r="E20" s="14">
        <f t="shared" si="2"/>
        <v>3.0000000000001137</v>
      </c>
      <c r="F20" s="19">
        <f t="shared" si="0"/>
        <v>3.0000000000001137E-2</v>
      </c>
      <c r="G20" s="15">
        <f t="shared" si="1"/>
        <v>131.35700000000003</v>
      </c>
      <c r="H20" s="28">
        <f>[5]!GBPJPY</f>
        <v>130.85900000000001</v>
      </c>
      <c r="I20" s="28">
        <f>[6]!GBPJPY</f>
        <v>131.4</v>
      </c>
      <c r="J20" s="13"/>
    </row>
    <row r="21" spans="1:10" x14ac:dyDescent="0.3">
      <c r="A21" s="10" t="s">
        <v>7</v>
      </c>
      <c r="B21" s="13">
        <f>[2]!GBPNZD</f>
        <v>43976.800694444442</v>
      </c>
      <c r="C21" s="28">
        <f>[3]!GBPNZD</f>
        <v>1.9988600000000001</v>
      </c>
      <c r="D21" s="28">
        <f>[4]!GBPNZD</f>
        <v>1.99942</v>
      </c>
      <c r="E21" s="14">
        <f t="shared" si="2"/>
        <v>5.5999999999989392</v>
      </c>
      <c r="F21" s="19">
        <f t="shared" si="0"/>
        <v>5.5999999999989392E-4</v>
      </c>
      <c r="G21" s="15">
        <f t="shared" si="1"/>
        <v>1.9991400000000001</v>
      </c>
      <c r="H21" s="28">
        <f>[5]!GBPNZD</f>
        <v>1.9948399999999999</v>
      </c>
      <c r="I21" s="28">
        <f>[6]!GBPNZD</f>
        <v>2.00088</v>
      </c>
      <c r="J21" s="13"/>
    </row>
    <row r="22" spans="1:10" x14ac:dyDescent="0.3">
      <c r="A22" s="10" t="s">
        <v>25</v>
      </c>
      <c r="B22" s="13">
        <f>[2]!GBPUSD</f>
        <v>43976.800000000003</v>
      </c>
      <c r="C22" s="28">
        <f>[3]!GBPUSD</f>
        <v>1.2196</v>
      </c>
      <c r="D22" s="28">
        <f>[4]!GBPUSD</f>
        <v>1.2198100000000001</v>
      </c>
      <c r="E22" s="14">
        <f t="shared" si="2"/>
        <v>2.1000000000004349</v>
      </c>
      <c r="F22" s="19">
        <f t="shared" si="0"/>
        <v>2.1000000000004349E-4</v>
      </c>
      <c r="G22" s="15">
        <f t="shared" si="1"/>
        <v>1.219705</v>
      </c>
      <c r="H22" s="28">
        <f>[5]!GBPUSD</f>
        <v>1.21593</v>
      </c>
      <c r="I22" s="28">
        <f>[6]!GBPUSD</f>
        <v>1.22031</v>
      </c>
      <c r="J22" s="13"/>
    </row>
    <row r="23" spans="1:10" x14ac:dyDescent="0.3">
      <c r="A23" s="10" t="s">
        <v>13</v>
      </c>
      <c r="B23" s="13">
        <f>[2]!NZDCAD</f>
        <v>43976.800694444442</v>
      </c>
      <c r="C23" s="28">
        <f>[3]!NZDCAD</f>
        <v>0.85218000000000005</v>
      </c>
      <c r="D23" s="28">
        <f>[4]!NZDCAD</f>
        <v>0.85248000000000002</v>
      </c>
      <c r="E23" s="14">
        <f t="shared" si="2"/>
        <v>2.9999999999996696</v>
      </c>
      <c r="F23" s="19">
        <f t="shared" si="0"/>
        <v>2.9999999999996696E-4</v>
      </c>
      <c r="G23" s="15">
        <f t="shared" si="1"/>
        <v>0.85233000000000003</v>
      </c>
      <c r="H23" s="28">
        <f>[5]!NZDCAD</f>
        <v>0.85145999999999999</v>
      </c>
      <c r="I23" s="28">
        <f>[6]!NZDCAD</f>
        <v>0.85394999999999999</v>
      </c>
      <c r="J23" s="13"/>
    </row>
    <row r="24" spans="1:10" x14ac:dyDescent="0.3">
      <c r="A24" s="10" t="s">
        <v>28</v>
      </c>
      <c r="B24" s="13">
        <f>[2]!NZDCHF</f>
        <v>43976.799305555556</v>
      </c>
      <c r="C24" s="28">
        <f>[3]!NZDCHF</f>
        <v>0.59221000000000001</v>
      </c>
      <c r="D24" s="28">
        <f>[4]!NZDCHF</f>
        <v>0.59253</v>
      </c>
      <c r="E24" s="14">
        <f t="shared" si="2"/>
        <v>3.1999999999998696</v>
      </c>
      <c r="F24" s="19">
        <f t="shared" si="0"/>
        <v>3.1999999999998696E-4</v>
      </c>
      <c r="G24" s="15">
        <f t="shared" si="1"/>
        <v>0.59237000000000006</v>
      </c>
      <c r="H24" s="28">
        <f>[5]!NZDCHF</f>
        <v>0.59050999999999998</v>
      </c>
      <c r="I24" s="28">
        <f>[6]!NZDCHF</f>
        <v>0.59321000000000002</v>
      </c>
      <c r="J24" s="13"/>
    </row>
    <row r="25" spans="1:10" x14ac:dyDescent="0.3">
      <c r="A25" s="10" t="s">
        <v>18</v>
      </c>
      <c r="B25" s="13">
        <f>[2]!NZDJPY</f>
        <v>43976.800000000003</v>
      </c>
      <c r="C25" s="28">
        <f>[3]!NZDJPY</f>
        <v>65.694999999999993</v>
      </c>
      <c r="D25" s="28">
        <f>[4]!NZDJPY</f>
        <v>65.718000000000004</v>
      </c>
      <c r="E25" s="14">
        <f t="shared" si="2"/>
        <v>2.3000000000010346</v>
      </c>
      <c r="F25" s="19">
        <f t="shared" si="0"/>
        <v>2.3000000000010346E-2</v>
      </c>
      <c r="G25" s="15">
        <f t="shared" si="1"/>
        <v>65.706500000000005</v>
      </c>
      <c r="H25" s="28">
        <f>[5]!NZDJPY</f>
        <v>65.438000000000002</v>
      </c>
      <c r="I25" s="28">
        <f>[6]!NZDJPY</f>
        <v>65.802999999999997</v>
      </c>
      <c r="J25" s="13"/>
    </row>
    <row r="26" spans="1:10" x14ac:dyDescent="0.3">
      <c r="A26" s="10" t="s">
        <v>24</v>
      </c>
      <c r="B26" s="13">
        <f>[2]!NZDUSD</f>
        <v>43976.799305555556</v>
      </c>
      <c r="C26" s="28">
        <f>[3]!NZDUSD</f>
        <v>0.61002999999999996</v>
      </c>
      <c r="D26" s="28">
        <f>[4]!NZDUSD</f>
        <v>0.61021999999999998</v>
      </c>
      <c r="E26" s="14">
        <f t="shared" si="2"/>
        <v>1.9000000000002348</v>
      </c>
      <c r="F26" s="19">
        <f t="shared" si="0"/>
        <v>1.9000000000002348E-4</v>
      </c>
      <c r="G26" s="15">
        <f t="shared" si="1"/>
        <v>0.61012500000000003</v>
      </c>
      <c r="H26" s="28">
        <f>[5]!NZDUSD</f>
        <v>0.60812999999999995</v>
      </c>
      <c r="I26" s="28">
        <f>[6]!NZDUSD</f>
        <v>0.61077000000000004</v>
      </c>
      <c r="J26" s="13"/>
    </row>
    <row r="27" spans="1:10" x14ac:dyDescent="0.3">
      <c r="A27" s="20" t="s">
        <v>12</v>
      </c>
      <c r="B27" s="21">
        <f>[2]!USDCAD</f>
        <v>43976.800000000003</v>
      </c>
      <c r="C27" s="28">
        <f>[3]!USDCAD</f>
        <v>1.3969</v>
      </c>
      <c r="D27" s="28">
        <f>[4]!USDCAD</f>
        <v>1.3970899999999999</v>
      </c>
      <c r="E27" s="14">
        <f t="shared" si="2"/>
        <v>1.8999999999991246</v>
      </c>
      <c r="F27" s="19">
        <f t="shared" si="0"/>
        <v>1.8999999999991246E-4</v>
      </c>
      <c r="G27" s="15">
        <f t="shared" si="1"/>
        <v>1.396995</v>
      </c>
      <c r="H27" s="28">
        <f>[5]!USDCAD</f>
        <v>1.39673</v>
      </c>
      <c r="I27" s="28">
        <f>[6]!USDCAD</f>
        <v>1.4006799999999999</v>
      </c>
      <c r="J27" s="13"/>
    </row>
    <row r="28" spans="1:10" x14ac:dyDescent="0.3">
      <c r="A28" s="20" t="s">
        <v>27</v>
      </c>
      <c r="B28" s="21">
        <f>[2]!USDCHF</f>
        <v>43976.799305555556</v>
      </c>
      <c r="C28" s="28">
        <f>[3]!USDCHF</f>
        <v>0.97077000000000002</v>
      </c>
      <c r="D28" s="28">
        <f>[4]!USDCHF</f>
        <v>0.97097</v>
      </c>
      <c r="E28" s="14">
        <f t="shared" si="2"/>
        <v>1.9999999999997797</v>
      </c>
      <c r="F28" s="19">
        <f t="shared" si="0"/>
        <v>1.9999999999997797E-4</v>
      </c>
      <c r="G28" s="15">
        <f t="shared" si="1"/>
        <v>0.97087000000000001</v>
      </c>
      <c r="H28" s="28">
        <f>[5]!USDCHF</f>
        <v>0.97036</v>
      </c>
      <c r="I28" s="28">
        <f>[6]!USDCHF</f>
        <v>0.97350999999999999</v>
      </c>
      <c r="J28" s="13"/>
    </row>
    <row r="29" spans="1:10" x14ac:dyDescent="0.3">
      <c r="A29" s="20" t="s">
        <v>17</v>
      </c>
      <c r="B29" s="21">
        <f>[2]!USDJPY</f>
        <v>43976.800000000003</v>
      </c>
      <c r="C29" s="28">
        <f>[3]!USDJPY</f>
        <v>107.68600000000001</v>
      </c>
      <c r="D29" s="28">
        <f>[4]!USDJPY</f>
        <v>107.702</v>
      </c>
      <c r="E29" s="14">
        <f t="shared" si="2"/>
        <v>1.5999999999991132</v>
      </c>
      <c r="F29" s="19">
        <f t="shared" si="0"/>
        <v>1.5999999999991132E-2</v>
      </c>
      <c r="G29" s="15">
        <f t="shared" si="1"/>
        <v>107.694</v>
      </c>
      <c r="H29" s="28">
        <f>[5]!USDJPY</f>
        <v>107.517</v>
      </c>
      <c r="I29" s="28">
        <f>[6]!USDJPY</f>
        <v>107.776</v>
      </c>
      <c r="J29" s="13"/>
    </row>
    <row r="30" spans="1:10" x14ac:dyDescent="0.3">
      <c r="A30" s="1"/>
      <c r="B30" s="1"/>
      <c r="C30" s="19"/>
      <c r="D30" s="19"/>
      <c r="E30" s="1"/>
      <c r="F30" s="1"/>
    </row>
  </sheetData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C1E9B5-1836-436A-B4CA-27A39CDDF0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Axiom Market</vt:lpstr>
      <vt:lpstr>Data - Data Feed Market</vt:lpstr>
      <vt:lpstr>Data - DDE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RMS</dc:creator>
  <cp:lastModifiedBy>Ryan Salisbury</cp:lastModifiedBy>
  <cp:lastPrinted>2020-05-17T15:22:46Z</cp:lastPrinted>
  <dcterms:created xsi:type="dcterms:W3CDTF">2015-06-05T18:17:20Z</dcterms:created>
  <dcterms:modified xsi:type="dcterms:W3CDTF">2020-05-25T16:13:02Z</dcterms:modified>
</cp:coreProperties>
</file>